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Y:\FONDS\1_FONDS SOUS GESTION\00 - FCT\FCT FRENCH PRIME CASH 2023\04 - MR\01 - Diffusion\Management Report\2024\2024 10 25\"/>
    </mc:Choice>
  </mc:AlternateContent>
  <xr:revisionPtr revIDLastSave="0" documentId="13_ncr:1_{15199E41-4D44-42BF-863D-A53B0DDFA08B}" xr6:coauthVersionLast="47" xr6:coauthVersionMax="47" xr10:uidLastSave="{00000000-0000-0000-0000-000000000000}"/>
  <bookViews>
    <workbookView xWindow="-110" yWindow="-110" windowWidth="19420" windowHeight="11620" tabRatio="916" firstSheet="14" activeTab="19" xr2:uid="{AC26AAE4-EEEB-4785-BE0A-1880365283FF}"/>
  </bookViews>
  <sheets>
    <sheet name="00 - Cover" sheetId="23175" r:id="rId1"/>
    <sheet name="Controle" sheetId="23189" state="hidden" r:id="rId2"/>
    <sheet name="01 - Summary" sheetId="23176" state="hidden" r:id="rId3"/>
    <sheet name="02 - Eligibility Criteria" sheetId="23202" r:id="rId4"/>
    <sheet name="03 - Monthly Asset Follow up" sheetId="23183" r:id="rId5"/>
    <sheet name="04 - Monthly Collection" sheetId="23184" r:id="rId6"/>
    <sheet name="05 - Prepayment Rate" sheetId="23201" r:id="rId7"/>
    <sheet name="06 - Asset Amortisation Profile" sheetId="23197" r:id="rId8"/>
    <sheet name="07 - Breakdown Statistics" sheetId="23198" r:id="rId9"/>
    <sheet name="08 - Delinquent Home Loans Stat" sheetId="23200" r:id="rId10"/>
    <sheet name="09 - Default &amp; Recovery Stat" sheetId="23199" r:id="rId11"/>
    <sheet name="10 -Principal Deficiency Ledger" sheetId="23206" r:id="rId12"/>
    <sheet name="11 - Notes Follow-up" sheetId="23203" r:id="rId13"/>
    <sheet name="12 - Notes Interest" sheetId="23205" r:id="rId14"/>
    <sheet name="13 - Issuer Account" sheetId="23204" r:id="rId15"/>
    <sheet name="14 - Fees" sheetId="39" r:id="rId16"/>
    <sheet name="15 - Priority of Payments" sheetId="23177" r:id="rId17"/>
    <sheet name="16 - Simplified Balance Sheet" sheetId="23178" r:id="rId18"/>
    <sheet name="17 - Calendar" sheetId="23172" r:id="rId19"/>
    <sheet name="Neolink" sheetId="23208" r:id="rId20"/>
    <sheet name="Instructions" sheetId="23195" r:id="rId21"/>
    <sheet name="OD Compta" sheetId="23211" state="hidden" r:id="rId22"/>
    <sheet name="INPUT_DATA" sheetId="23207" state="hidden" r:id="rId23"/>
    <sheet name="18 - Event" sheetId="23190" r:id="rId24"/>
    <sheet name="IR_Annex 12" sheetId="23209" r:id="rId25"/>
    <sheet name="IR_Annex 14" sheetId="23210" r:id="rId26"/>
    <sheet name="15 - OD" sheetId="23193" state="veryHidden" r:id="rId27"/>
  </sheets>
  <definedNames>
    <definedName name="____a2" hidden="1">{#N/A,#N/A,FALSE,"Sheet1"}</definedName>
    <definedName name="____a3" hidden="1">{#N/A,#N/A,FALSE,"Sheet1"}</definedName>
    <definedName name="____e2" hidden="1">{#N/A,#N/A,FALSE,"FY97";#N/A,#N/A,FALSE,"FY98";#N/A,#N/A,FALSE,"FY99";#N/A,#N/A,FALSE,"FY00";#N/A,#N/A,FALSE,"FY01"}</definedName>
    <definedName name="____e4" hidden="1">{#N/A,#N/A,FALSE,"Cover";#N/A,#N/A,FALSE,"Projections";#N/A,#N/A,FALSE,"10 Year Summary";#N/A,#N/A,FALSE,"Balance Sheet Summary";#N/A,#N/A,FALSE,"Adjustments";#N/A,#N/A,FALSE,"Discount Rate";#N/A,#N/A,FALSE,"Comps";#N/A,#N/A,FALSE,"Executive Comp"}</definedName>
    <definedName name="____t34" hidden="1">{#N/A,#N/A,FALSE,"FY97";#N/A,#N/A,FALSE,"FY98";#N/A,#N/A,FALSE,"FY99";#N/A,#N/A,FALSE,"FY00";#N/A,#N/A,FALSE,"FY01"}</definedName>
    <definedName name="___a2" hidden="1">{#N/A,#N/A,FALSE,"Sheet1"}</definedName>
    <definedName name="___a3" hidden="1">{#N/A,#N/A,FALSE,"Sheet1"}</definedName>
    <definedName name="___CF2" hidden="1">{#N/A,#N/A,FALSE,"Aging Summary";#N/A,#N/A,FALSE,"Ratio Analysis";#N/A,#N/A,FALSE,"Test 120 Day Accts";#N/A,#N/A,FALSE,"Tickmarks"}</definedName>
    <definedName name="___e2" hidden="1">{#N/A,#N/A,FALSE,"FY97";#N/A,#N/A,FALSE,"FY98";#N/A,#N/A,FALSE,"FY99";#N/A,#N/A,FALSE,"FY00";#N/A,#N/A,FALSE,"FY01"}</definedName>
    <definedName name="___e4" hidden="1">{#N/A,#N/A,FALSE,"Cover";#N/A,#N/A,FALSE,"Projections";#N/A,#N/A,FALSE,"10 Year Summary";#N/A,#N/A,FALSE,"Balance Sheet Summary";#N/A,#N/A,FALSE,"Adjustments";#N/A,#N/A,FALSE,"Discount Rate";#N/A,#N/A,FALSE,"Comps";#N/A,#N/A,FALSE,"Executive Comp"}</definedName>
    <definedName name="___o1" hidden="1">{"det (May)",#N/A,FALSE,"June";"sum (MAY YTD)",#N/A,FALSE,"June YTD"}</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hidden="1">{#N/A,#N/A,FALSE,"Aging Summary";#N/A,#N/A,FALSE,"Ratio Analysis";#N/A,#N/A,FALSE,"Test 120 Day Accts";#N/A,#N/A,FALSE,"Tickmarks"}</definedName>
    <definedName name="__e2" hidden="1">{#N/A,#N/A,FALSE,"FY97";#N/A,#N/A,FALSE,"FY98";#N/A,#N/A,FALSE,"FY99";#N/A,#N/A,FALSE,"FY00";#N/A,#N/A,FALSE,"FY01"}</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hidden="1">{"det (May)",#N/A,FALSE,"June";"sum (MAY YTD)",#N/A,FALSE,"June YTD"}</definedName>
    <definedName name="__t34" hidden="1">{#N/A,#N/A,FALSE,"FY97";#N/A,#N/A,FALSE,"FY98";#N/A,#N/A,FALSE,"FY99";#N/A,#N/A,FALSE,"FY00";#N/A,#N/A,FALSE,"FY01"}</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hidden="1">{#N/A,#N/A,FALSE,"Sheet1"}</definedName>
    <definedName name="_a8" hidden="1">{#N/A,#N/A,FALSE,"Partnership Splits";#N/A,#N/A,FALSE,"Condensed Financials-Endo";#N/A,#N/A,FALSE,"Condensed Financials-Partner";#N/A,#N/A,FALSE,"P&amp;L Detail";#N/A,#N/A,FALSE,"Payments";#N/A,#N/A,FALSE,"Selling &amp; Mktg Summary (3)"}</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hidden="1">{#N/A,#N/A,FALSE,"FY97";#N/A,#N/A,FALSE,"FY98";#N/A,#N/A,FALSE,"FY99";#N/A,#N/A,FALSE,"FY00";#N/A,#N/A,FALSE,"FY01"}</definedName>
    <definedName name="_e4" hidden="1">{#N/A,#N/A,FALSE,"Cover";#N/A,#N/A,FALSE,"Projections";#N/A,#N/A,FALSE,"10 Year Summary";#N/A,#N/A,FALSE,"Balance Sheet Summary";#N/A,#N/A,FALSE,"Adjustments";#N/A,#N/A,FALSE,"Discount Rate";#N/A,#N/A,FALSE,"Comps";#N/A,#N/A,FALSE,"Executive Comp"}</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xlnm._FilterDatabase" localSheetId="26" hidden="1">'15 - OD'!$C$11:$I$58</definedName>
    <definedName name="_FU_Label" hidden="1">#REF!</definedName>
    <definedName name="_FV_Label" hidden="1">#REF!</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2" hidden="1">#REF!</definedName>
    <definedName name="_Key1" localSheetId="3" hidden="1">#REF!</definedName>
    <definedName name="_Key1" localSheetId="6"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13" hidden="1">#REF!</definedName>
    <definedName name="_Key1" localSheetId="14" hidden="1">#REF!</definedName>
    <definedName name="_Key1" localSheetId="16" hidden="1">#REF!</definedName>
    <definedName name="_Key1" hidden="1">#REF!</definedName>
    <definedName name="_Key2" localSheetId="0" hidden="1">#REF!</definedName>
    <definedName name="_Key2" localSheetId="2" hidden="1">#REF!</definedName>
    <definedName name="_Key2" localSheetId="3" hidden="1">#REF!</definedName>
    <definedName name="_Key2" localSheetId="6"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13" hidden="1">#REF!</definedName>
    <definedName name="_Key2" localSheetId="14" hidden="1">#REF!</definedName>
    <definedName name="_Key2" localSheetId="16"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hidden="1">#REF!</definedName>
    <definedName name="_Regression_X" hidden="1">#REF!</definedName>
    <definedName name="_Regression_Y" hidden="1">#REF!</definedName>
    <definedName name="_sdf2" hidden="1">{#N/A,#N/A,FALSE,"Calc";#N/A,#N/A,FALSE,"Sensitivity";#N/A,#N/A,FALSE,"LT Earn.Dil.";#N/A,#N/A,FALSE,"Dil. AVP"}</definedName>
    <definedName name="_Sort" localSheetId="0" hidden="1">#REF!</definedName>
    <definedName name="_Sort" localSheetId="2" hidden="1">#REF!</definedName>
    <definedName name="_Sort" localSheetId="3" hidden="1">#REF!</definedName>
    <definedName name="_Sort" localSheetId="6"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13" hidden="1">#REF!</definedName>
    <definedName name="_Sort" localSheetId="14" hidden="1">#REF!</definedName>
    <definedName name="_Sort" localSheetId="16" hidden="1">#REF!</definedName>
    <definedName name="_Sort" hidden="1">#REF!</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hidden="1">{#N/A,#N/A,FALSE,"ORIX CSC"}</definedName>
    <definedName name="_Zcomps2" hidden="1">{0,0,0,0,1,-4105,28.3464566929134,28.3464566929134,28.346456664,28.3464566929134,2,TRUE,TRUE,FALSE,FALSE,FALSE,#N/A,1,85,1,2,"","","","&amp;""Kennerly,Roman Bold""&amp;14L&amp;12EHMAN &amp;14 B&amp;12ROTHERS","","",FALSE}</definedName>
    <definedName name="_Zprezzi" hidden="1">{0,0,0,0,1,-4105,53.8582677165354,53.8582677165354,70.8661417322835,70.8661417322835,2,TRUE,FALSE,FALSE,FALSE,FALSE,#N/A,1,FALSE,1,1,"","","","","","",FALSE}</definedName>
    <definedName name="aa" hidden="1">{#N/A,#N/A,TRUE,"Pro Forma";#N/A,#N/A,TRUE,"PF_Bal";#N/A,#N/A,TRUE,"PF_INC";#N/A,#N/A,TRUE,"CBE";#N/A,#N/A,TRUE,"SWK"}</definedName>
    <definedName name="AAA_DOCTOPS" hidden="1">"AAA_SET"</definedName>
    <definedName name="AAA_duser" hidden="1">"OFF"</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hidden="1">{"Eur Base Top",#N/A,FALSE,"Europe Base";"Eur Base Bottom",#N/A,FALSE,"Europe Base"}</definedName>
    <definedName name="abc" hidden="1">{"qchm_dcf",#N/A,FALSE,"QCHMDCF2";"qchm_terminal",#N/A,FALSE,"QCHMDCF2"}</definedName>
    <definedName name="Access_Button" hidden="1">"VASITA_DBA_List"</definedName>
    <definedName name="AccessDatabase" hidden="1">"F:\Models\NOVA model.mdb"</definedName>
    <definedName name="add" hidden="1">{"det (May)",#N/A,FALSE,"June";"sum (MAY YTD)",#N/A,FALSE,"June YTD"}</definedName>
    <definedName name="addg" hidden="1">{#N/A,#N/A,FALSE,"CBE";#N/A,#N/A,FALSE,"SWK"}</definedName>
    <definedName name="addsa" hidden="1">{"det (May)",#N/A,FALSE,"June";"sum (MAY YTD)",#N/A,FALSE,"June YTD"}</definedName>
    <definedName name="adf" hidden="1">{"standalone1",#N/A,FALSE,"DCFBase";"standalone2",#N/A,FALSE,"DCFBase"}</definedName>
    <definedName name="adfadasdf" hidden="1">{"Assumptions1",#N/A,FALSE,"Assumptions";"MergerPlans1","20yearamort",FALSE,"MergerPlans";"MergerPlans1","40yearamort",FALSE,"MergerPlans";"MergerPlans2",#N/A,FALSE,"MergerPlans";"inputs",#N/A,FALSE,"MergerPlans"}</definedName>
    <definedName name="ADopsterling" hidden="1">{#N/A,#N/A,FALSE,"Summary";#N/A,#N/A,FALSE,"CF";#N/A,#N/A,FALSE,"P&amp;L";#N/A,#N/A,FALSE,"BS";#N/A,#N/A,FALSE,"Returns";#N/A,#N/A,FALSE,"Assumptions";#N/A,#N/A,FALSE,"Analysis"}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hidden="1">{"NA Is w Ratios",#N/A,FALSE,"North America";"PF CFlow NA",#N/A,FALSE,"North America";"NA DCF Matrix",#N/A,FALSE,"North America"}</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hidden="1">{"CAP VOL",#N/A,FALSE,"CAPITAL";"CAP VAR",#N/A,FALSE,"CAPITAL";"CAP FIJ",#N/A,FALSE,"CAPITAL";"CAP CONS",#N/A,FALSE,"CAPITAL";"CAP DATA",#N/A,FALSE,"CAPITAL"}</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hidden="1">{"standalone1",#N/A,FALSE,"DCFBase";"standalone2",#N/A,FALSE,"DCFBase"}</definedName>
    <definedName name="anna2" hidden="1">{#N/A,#N/A,FALSE,"A&amp;E";#N/A,#N/A,FALSE,"HighTop";#N/A,#N/A,FALSE,"JG";#N/A,#N/A,FALSE,"RI";#N/A,#N/A,FALSE,"woHT";#N/A,#N/A,FALSE,"woHT&amp;JG"}</definedName>
    <definedName name="anscount" hidden="1">2</definedName>
    <definedName name="appendix4" hidden="1">{#N/A,#N/A,TRUE,"Cover sheet";#N/A,#N/A,TRUE,"Summary";#N/A,#N/A,TRUE,"Key Assumptions";#N/A,#N/A,TRUE,"Profit &amp; Loss";#N/A,#N/A,TRUE,"Balance Sheet";#N/A,#N/A,TRUE,"Cashflow";#N/A,#N/A,TRUE,"IRR";#N/A,#N/A,TRUE,"Ratios";#N/A,#N/A,TRUE,"Debt analysis"}</definedName>
    <definedName name="As" hidden="1">{#N/A,#N/A,FALSE,"ORIX CSC"}</definedName>
    <definedName name="AS2DocOpenMode" hidden="1">"AS2DocumentEdit"</definedName>
    <definedName name="AS2NamedRange" hidden="1">3</definedName>
    <definedName name="ASD" hidden="1">{"orixcsc",#N/A,FALSE,"ORIX CSC";"orixcsc2",#N/A,FALSE,"ORIX CSC"}</definedName>
    <definedName name="asdafaffasd" hidden="1">{"det (May)",#N/A,FALSE,"June";"sum (MAY YTD)",#N/A,FALSE,"June YTD"}</definedName>
    <definedName name="asdasd" hidden="1">{"det (May)",#N/A,FALSE,"June";"sum (MAY YTD)",#N/A,FALSE,"June YTD"}</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hidden="1">{"det (May)",#N/A,FALSE,"June";"sum (MAY YTD)",#N/A,FALSE,"June YTD"}</definedName>
    <definedName name="asdasdfasdf" hidden="1">{"NA Top",#N/A,FALSE,"NA-ULV";"NA Bottom",#N/A,FALSE,"NA-ULV"}</definedName>
    <definedName name="asdasdxczvv" hidden="1">{"NA Top",#N/A,FALSE,"NA Model";"NA Bottom",#N/A,FALSE,"NA Model"}</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hidden="1">{"a",#N/A,FALSE,"LBO - 100%, Sell C,CT 98......";"aa",#N/A,FALSE,"LBO - 100%, Sell C,CT 98......";"aaa",#N/A,FALSE,"LBO - 100%, Sell C,CT 98......";"aaaa",#N/A,FALSE,"LBO - 100%, Sell C,CT 98......";"aaaaa",#N/A,FALSE,"LBO - 100%, Sell C,CT 98......";"aaaaaa",#N/A,FALSE,"LBO - 100%, Sell C,CT 98......"}</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hidden="1">{"Assumptions1",#N/A,FALSE,"Assumptions";"MergerPlans1","20yearamort",FALSE,"MergerPlans";"MergerPlans1","40yearamort",FALSE,"MergerPlans";"MergerPlans2",#N/A,FALSE,"MergerPlans";"inputs",#N/A,FALSE,"MergerPlans"}</definedName>
    <definedName name="asdfasdfasfasd" hidden="1">{"Far East Top",#N/A,FALSE,"FE Model";"Far East Mid",#N/A,FALSE,"FE Model";"Far East Base",#N/A,FALSE,"FE Model"}</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hidden="1">{"Far East Top",#N/A,FALSE,"FE Model";"Far East Bottom",#N/A,FALSE,"FE Model"}</definedName>
    <definedName name="asfasdf" hidden="1">{"NA Is w Ratios",#N/A,FALSE,"North America";"PF CFlow NA",#N/A,FALSE,"North America";"NA DCF Matrix",#N/A,FALSE,"North America"}</definedName>
    <definedName name="asfsdaf" hidden="1">{"IS w Ratios",#N/A,FALSE,"Europe";"PF CF Europe",#N/A,FALSE,"Europe";"DCF Eur Matrix",#N/A,FALSE,"Europe"}</definedName>
    <definedName name="ass" hidden="1">{0,0,0,0,1,-4105,42.5196850393701,42.5196850393701,42.5196850393701,42.5196850393701,2,TRUE,TRUE,FALSE,FALSE,FALSE,#N/A,1,85,1,1,"","","","&amp;""Kennerly,Roman Bold""&amp;14L&amp;12EHMAN &amp;14 B&amp;12ROTHERS","","",FALSE}</definedName>
    <definedName name="ath" hidden="1">{#N/A,#N/A,FALSE,"94-95";"SAMANDR",#N/A,FALSE,"94-95"}</definedName>
    <definedName name="avb" hidden="1">{"ratios",#N/A,FALSE,"Analyse";"multiples",#N/A,FALSE,"Analyse";"places",#N/A,FALSE,"Analyse";"résultats_édition client",#N/A,FALSE,"Résultats";"reg_edition client",#N/A,FALSE,"Regressions";"SYNTHESE",#N/A,FALSE,"Synthese"}</definedName>
    <definedName name="AVP" hidden="1">{"JG FE Top",#N/A,FALSE,"JG FE $";"JG FE Bottom",#N/A,FALSE,"JG FE $"}</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hidden="1">{#N/A,#N/A,FALSE,"94-95";"SAMANDR",#N/A,FALSE,"94-95"}</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hidden="1">{"mgmt forecast",#N/A,FALSE,"Mgmt Forecast";"dcf table",#N/A,FALSE,"Mgmt Forecast";"sensitivity",#N/A,FALSE,"Mgmt Forecast";"table inputs",#N/A,FALSE,"Mgmt Forecast";"calculations",#N/A,FALSE,"Mgmt Forecast"}</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3"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3"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hidden="1">{#N/A,#N/A,FALSE,"attivo";#N/A,#N/A,FALSE,"passivo";#N/A,#N/A,FALSE,"garanzie";#N/A,#N/A,FALSE,"economico";#N/A,#N/A,FALSE,"elenco";#N/A,#N/A,FALSE,"costo";#N/A,#N/A,FALSE,"patrimonio";#N/A,#N/A,FALSE,"temporali"}</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hidden="1">{"det (May)",#N/A,FALSE,"June";"sum (MAY YTD)",#N/A,FALSE,"June YTD"}</definedName>
    <definedName name="bnmnbm" hidden="1">{"det (May)",#N/A,FALSE,"June";"sum (MAY YTD)",#N/A,FALSE,"June YTD"}</definedName>
    <definedName name="bnmv" hidden="1">{"det (May)",#N/A,FALSE,"June";"sum (MAY YTD)",#N/A,FALSE,"June YTD"}</definedName>
    <definedName name="boerse" hidden="1">{"standalone1",#N/A,FALSE,"DCFBase";"standalone2",#N/A,FALSE,"DCFBase"}</definedName>
    <definedName name="book" hidden="1">{"det (May)",#N/A,FALSE,"June";"sum (MAY YTD)",#N/A,FALSE,"June YTD"}</definedName>
    <definedName name="bxc" hidden="1">{"orixcsc",#N/A,FALSE,"ORIX CSC";"orixcsc2",#N/A,FALSE,"ORIX CSC"}</definedName>
    <definedName name="Cable" hidden="1">{#N/A,#N/A,FALSE,"Operations";#N/A,#N/A,FALSE,"Financials"}</definedName>
    <definedName name="Cable2" hidden="1">{#N/A,#N/A,FALSE,"Operations";#N/A,#N/A,FALSE,"Financials"}</definedName>
    <definedName name="calle" hidden="1">{#N/A,#N/A,FALSE,"CreditStat";#N/A,#N/A,FALSE,"SPbrkup";#N/A,#N/A,FALSE,"MerSPsyn";#N/A,#N/A,FALSE,"MerSPwKCsyn";#N/A,#N/A,FALSE,"MerSPwKCsyn (2)";#N/A,#N/A,FALSE,"CreditStat (2)"}</definedName>
    <definedName name="cantrib3" hidden="1">{"page1",#N/A,FALSE,"Temp";"page2",#N/A,FALSE,"Temp";"page3",#N/A,FALSE,"Temp";"page4",#N/A,FALSE,"Temp";"page5",#N/A,FALSE,"Temp";"page6",#N/A,FALSE,"Temp"}</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hidden="1">{"CAP VOL",#N/A,FALSE,"CAPITAL";"CAP VAR",#N/A,FALSE,"CAPITAL";"CAP FIJ",#N/A,FALSE,"CAPITAL";"CAP CONS",#N/A,FALSE,"CAPITAL";"CAP DATA",#N/A,FALSE,"CAPITAL"}</definedName>
    <definedName name="ccc" hidden="1">{"Print Top",#N/A,FALSE,"Europe Model";"Print Bottom",#N/A,FALSE,"Europe Model"}</definedName>
    <definedName name="cccc" hidden="1">{"det (May)",#N/A,FALSE,"June";"sum (MAY YTD)",#N/A,FALSE,"June YTD"}</definedName>
    <definedName name="ccccc" hidden="1">{"10yp key data",#N/A,FALSE,"Market Data"}</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hidden="1">{"PRO FORMA RIEPILOGO",#N/A,FALSE,"Pro forma";"PRO FORMA DETTAGLIO",#N/A,FALSE,"Pro forma";"IMPOSTE",#N/A,FALSE,"Imposte puntuali"}</definedName>
    <definedName name="cem" hidden="1">{"det (May)",#N/A,FALSE,"June";"sum (MAY YTD)",#N/A,FALSE,"June YTD"}</definedName>
    <definedName name="Charts" hidden="1">{#N/A,#N/A,FALSE,"Sheet1"}</definedName>
    <definedName name="CIQWBGuid" hidden="1">"Case Review List.xlsx"</definedName>
    <definedName name="cmw" hidden="1">{#N/A,#N/A,FALSE,"A&amp;E";#N/A,#N/A,FALSE,"HighTop";#N/A,#N/A,FALSE,"JG";#N/A,#N/A,FALSE,"RI";#N/A,#N/A,FALSE,"woHT";#N/A,#N/A,FALSE,"woHT&amp;JG"}</definedName>
    <definedName name="cnbfhshzk" hidden="1">#REF!</definedName>
    <definedName name="comp9" hidden="1">{#N/A,#N/A,FALSE,"Sheet1"}</definedName>
    <definedName name="Compco1" hidden="1">{"Page1",#N/A,FALSE,"CompCo";"Page2",#N/A,FALSE,"CompCo"}</definedName>
    <definedName name="Compco2" hidden="1">{"Page1",#N/A,FALSE,"CompCo";"Page2",#N/A,FALSE,"CompCo"}</definedName>
    <definedName name="cont" hidden="1">{"PRO FORMA RIEPILOGO",#N/A,TRUE,"Pro forma";"PRO FORMA DETTAGLIO",#N/A,TRUE,"Pro forma";#N/A,#N/A,TRUE,"Imposte puntuali"}</definedName>
    <definedName name="Contr"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hidden="1">{#N/A,#N/A,TRUE,"Pro Forma";#N/A,#N/A,TRUE,"PF_Bal";#N/A,#N/A,TRUE,"PF_INC";#N/A,#N/A,TRUE,"CBE";#N/A,#N/A,TRUE,"SWK"}</definedName>
    <definedName name="coucou" hidden="1">{#N/A,#N/A,TRUE,"Cover sheet";#N/A,#N/A,TRUE,"INPUTS";#N/A,#N/A,TRUE,"OUTPUTS";#N/A,#N/A,TRUE,"VALUATION"}</definedName>
    <definedName name="Cover.v1" hidden="1">{"mgmt forecast",#N/A,FALSE,"Mgmt Forecast";"dcf table",#N/A,FALSE,"Mgmt Forecast";"sensitivity",#N/A,FALSE,"Mgmt Forecast";"table inputs",#N/A,FALSE,"Mgmt Forecast";"calculations",#N/A,FALSE,"Mgmt Forecast"}</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hidden="1">{#N/A,#N/A,FALSE,"Contribution Analysis"}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hidden="1">{#N/A,#N/A,TRUE,"Cover Page";#N/A,#N/A,TRUE,"Summary";#N/A,#N/A,TRUE,"Acquisition Analysis";#N/A,#N/A,TRUE,"Acquiror Financials";#N/A,#N/A,TRUE,"Target Financials";#N/A,#N/A,TRUE,"Pro Forma";#N/A,#N/A,TRUE,"Shares";#N/A,#N/A,TRUE,"ESOP Recon";#N/A,#N/A,TRUE,"IRR";#N/A,#N/A,TRUE,"Sensitivity";#N/A,#N/A,TRUE,"Inputs"}</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hidden="1">{#N/A,#N/A,FALSE}</definedName>
    <definedName name="ddd" hidden="1">{"standalone1",#N/A,FALSE,"DCFBase";"standalone2",#N/A,FALSE,"DCFBase"}</definedName>
    <definedName name="ddddd" hidden="1">{"10yp tariffs",#N/A,FALSE,"Celtel alternative 6"}</definedName>
    <definedName name="dddddd" hidden="1">{"10yp profit and loss",#N/A,FALSE,"Celtel alternative 6"}</definedName>
    <definedName name="dde" hidden="1">{#N/A,#N/A,TRUE,"Pro Forma";#N/A,#N/A,TRUE,"PF_Bal";#N/A,#N/A,TRUE,"PF_INC";#N/A,#N/A,TRUE,"CBE";#N/A,#N/A,TRUE,"SWK"}</definedName>
    <definedName name="ddfddddd" hidden="1">{#N/A,#N/A,FALSE,"DAOCM 2차 검토"}</definedName>
    <definedName name="ddfff" hidden="1">{"standalone1",#N/A,FALSE,"DCFBase";"standalone2",#N/A,FALSE,"DCFBase"}</definedName>
    <definedName name="ddsaas" hidden="1">{#N/A,#N/A,FALSE,"CreditStat";#N/A,#N/A,FALSE,"SPbrkup";#N/A,#N/A,FALSE,"MerSPsyn";#N/A,#N/A,FALSE,"MerSPwKCsyn";#N/A,#N/A,FALSE,"MerSPwKCsyn (2)";#N/A,#N/A,FALSE,"CreditStat (2)"}</definedName>
    <definedName name="def" hidden="1">{"histincome",#N/A,FALSE,"hyfins";"closing balance",#N/A,FALSE,"hyfins"}</definedName>
    <definedName name="deleteme" hidden="1">{#N/A,#N/A,FALSE,"Output";#N/A,#N/A,FALSE,"Cover Sheet";#N/A,#N/A,FALSE,"Current Mkt. Projections"}</definedName>
    <definedName name="deleteme2" hidden="1">{#N/A,#N/A,FALSE,"Output";#N/A,#N/A,FALSE,"Cover Sheet";#N/A,#N/A,FALSE,"Current Mkt. Projections"}</definedName>
    <definedName name="deleteme3" hidden="1">{#N/A,#N/A,FALSE,"Output";#N/A,#N/A,FALSE,"Cover Sheet";#N/A,#N/A,FALSE,"Current Mkt. Projections"}</definedName>
    <definedName name="deleteme333" hidden="1">{#N/A,#N/A,FALSE,"Output";#N/A,#N/A,FALSE,"Cover Sheet";#N/A,#N/A,FALSE,"Current Mkt. Projections"}</definedName>
    <definedName name="depwc" hidden="1">{#N/A,#N/A,FALSE,"Summary";#N/A,#N/A,FALSE,"CF";#N/A,#N/A,FALSE,"P&amp;L";#N/A,#N/A,FALSE,"BS";#N/A,#N/A,FALSE,"Returns";#N/A,#N/A,FALSE,"Assumptions";#N/A,#N/A,FALSE,"Analysis"}</definedName>
    <definedName name="df" hidden="1">{"det (May)",#N/A,FALSE,"June";"sum (MAY YTD)",#N/A,FALSE,"June YTD"}</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hidden="1">{"comp1",#N/A,FALSE,"COMPS";"footnotes",#N/A,FALSE,"COMPS"}</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hidden="1">{"det (May)",#N/A,FALSE,"June";"sum (MAY YTD)",#N/A,FALSE,"June YTD"}</definedName>
    <definedName name="dfjkndfkjndfk" hidden="1">{#VALUE!,#N/A,FALSE,0}</definedName>
    <definedName name="dfsd"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hidden="1">{"mgmt forecast",#N/A,FALSE,"Mgmt Forecast";"dcf table",#N/A,FALSE,"Mgmt Forecast";"sensitivity",#N/A,FALSE,"Mgmt Forecast";"table inputs",#N/A,FALSE,"Mgmt Forecast";"calculations",#N/A,FALSE,"Mgmt Forecast"}</definedName>
    <definedName name="dgsdg" hidden="1">{#N/A,#N/A,FALSE,"A&amp;E";#N/A,#N/A,FALSE,"HighTop";#N/A,#N/A,FALSE,"JG";#N/A,#N/A,FALSE,"RI";#N/A,#N/A,FALSE,"woHT";#N/A,#N/A,FALSE,"woHT&amp;JG"}</definedName>
    <definedName name="dh" hidden="1">{#N/A,#N/A,FALSE,"Antony Financials";#N/A,#N/A,FALSE,"Cowboy Financials";#N/A,#N/A,FALSE,"Combined";#N/A,#N/A,FALSE,"Valuematrix";#N/A,#N/A,FALSE,"DCFAntony";#N/A,#N/A,FALSE,"DCFCowboy";#N/A,#N/A,FALSE,"DCFCombined"}</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hidden="1">{#N/A,#N/A,FALSE,"P&amp;L";#N/A,#N/A,FALSE,"BS";#N/A,#N/A,FALSE,"HILITE";#N/A,#N/A,FALSE,"KEY"}</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hidden="1">{"Employee Efficiency",#N/A,FALSE,"Benchmarking"}</definedName>
    <definedName name="dsajsdj" hidden="1">{"mgmt forecast",#N/A,FALSE,"Mgmt Forecast";"dcf table",#N/A,FALSE,"Mgmt Forecast";"sensitivity",#N/A,FALSE,"Mgmt Forecast";"table inputs",#N/A,FALSE,"Mgmt Forecast";"calculations",#N/A,FALSE,"Mgmt Forecast"}</definedName>
    <definedName name="dsd" hidden="1">{"orixcsc",#N/A,FALSE,"ORIX CSC";"orixcsc2",#N/A,FALSE,"ORIX CSC"}</definedName>
    <definedName name="dsddsa" hidden="1">{#N/A,#N/A,FALSE,"A&amp;E";#N/A,#N/A,FALSE,"HighTop";#N/A,#N/A,FALSE,"JG";#N/A,#N/A,FALSE,"RI";#N/A,#N/A,FALSE,"woHT";#N/A,#N/A,FALSE,"woHT&amp;JG"}</definedName>
    <definedName name="dsfddsf" hidden="1">{"standalone1",#N/A,FALSE,"DCFBase";"standalone2",#N/A,FALSE,"DCFBase"}</definedName>
    <definedName name="dsfg" hidden="1">{"Eur Base Top",#N/A,FALSE,"Europe Base";"Eur Base Bottom",#N/A,FALSE,"Europe Base"}</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hidden="1">{"NA Is w Ratios",#N/A,FALSE,"North America";"PF CFlow NA",#N/A,FALSE,"North America";"NA DCF Matrix",#N/A,FALSE,"North America"}</definedName>
    <definedName name="dssd" hidden="1">{#N/A,#N/A,FALSE,"CreditStat";#N/A,#N/A,FALSE,"SPbrkup";#N/A,#N/A,FALSE,"MerSPsyn";#N/A,#N/A,FALSE,"MerSPwKCsyn";#N/A,#N/A,FALSE,"MerSPwKCsyn (2)";#N/A,#N/A,FALSE,"CreditStat (2)"}</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hidden="1">{"assumption 50 50",#N/A,TRUE,"Merger";"has gets cash",#N/A,TRUE,"Merger";"accretion dilution",#N/A,TRUE,"Merger";"comparison credit stats",#N/A,TRUE,"Merger";"pf credit stats",#N/A,TRUE,"Merger";"pf sheets",#N/A,TRUE,"Merger"}</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hidden="1">{"subs",#N/A,FALSE,"database ";"proportional",#N/A,FALSE,"database "}</definedName>
    <definedName name="eee" hidden="1">{"RESUMEN",#N/A,FALSE,"RESUMEN";"RESUMEN_MARG",#N/A,FALSE,"RESUMEN"}</definedName>
    <definedName name="eeeee" hidden="1">{"budget992000 tariff and usage",#N/A,FALSE,"Celtel alternative 6"}</definedName>
    <definedName name="eer" hidden="1">{#N/A,#N/A,FALSE,"Hoja1";#N/A,#N/A,FALSE,"Hoja2"}</definedName>
    <definedName name="ENDEX" hidden="1">{#N/A,#N/A,FALSE,"94-95";"SAMANDR",#N/A,FALSE,"94-95"}</definedName>
    <definedName name="er" hidden="1">{#N/A,#N/A,FALSE,"Cover";#N/A,#N/A,FALSE,"Projections";#N/A,#N/A,FALSE,"10 Year Summary";#N/A,#N/A,FALSE,"Balance Sheet Summary";#N/A,#N/A,FALSE,"Adjustments";#N/A,#N/A,FALSE,"Discount Rate";#N/A,#N/A,FALSE,"Comps";#N/A,#N/A,FALSE,"Executive Comp"}</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2" hidden="1">{#N/A,#N/A,FALSE,"fnma22pi";#N/A,#N/A,FALSE,"1888144"}</definedName>
    <definedName name="erthrt" localSheetId="3" hidden="1">{#N/A,#N/A,FALSE,"fnma22pi";#N/A,#N/A,FALSE,"1888144"}</definedName>
    <definedName name="erthrt" localSheetId="7" hidden="1">{#N/A,#N/A,FALSE,"fnma22pi";#N/A,#N/A,FALSE,"1888144"}</definedName>
    <definedName name="erthrt" localSheetId="12"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hidden="1">{#N/A,#N/A,FALSE,"fnma22pi";#N/A,#N/A,FALSE,"1888144"}</definedName>
    <definedName name="erthx" localSheetId="0" hidden="1">#REF!</definedName>
    <definedName name="erthx" localSheetId="2" hidden="1">#REF!</definedName>
    <definedName name="erthx" localSheetId="3" hidden="1">#REF!</definedName>
    <definedName name="erthx" localSheetId="12" hidden="1">#REF!</definedName>
    <definedName name="erthx" localSheetId="13" hidden="1">#REF!</definedName>
    <definedName name="erthx" localSheetId="14" hidden="1">#REF!</definedName>
    <definedName name="erthx" localSheetId="16" hidden="1">#REF!</definedName>
    <definedName name="erthx" hidden="1">#REF!</definedName>
    <definedName name="esnrc100c1_values" hidden="1">{"FTSE100","COMPANIES",TRUE}</definedName>
    <definedName name="esnrc1c1" hidden="1">#REF!</definedName>
    <definedName name="esnrc33c1_values" hidden="1">{"EUMOT","COMPANIES",TRUE}</definedName>
    <definedName name="esnrc56c1_values" hidden="1">{"ASCONGRP","COMPANIES",TRUE}</definedName>
    <definedName name="esnrc63c1_values" hidden="1">{"EUUTIGRP","COMPANIES",TRUE}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hidden="1">{"CAP VOL",#N/A,FALSE,"CAPITAL";"CAP VAR",#N/A,FALSE,"CAPITAL";"CAP FIJ",#N/A,FALSE,"CAPITAL";"CAP CONS",#N/A,FALSE,"CAPITAL";"CAP DATA",#N/A,FALSE,"CAPITAL"}</definedName>
    <definedName name="ewarnall" hidden="1">{#N/A,#N/A,FALSE,"assumptions";#N/A,#N/A,FALSE,"v_projcy";#N/A,#N/A,FALSE,"tar_proj";#N/A,#N/A,FALSE,"contrib_annual";#N/A,#N/A,FALSE,"Proforma";#N/A,#N/A,FALSE,"purc_97";#N/A,#N/A,FALSE,"syn_purc_97";#N/A,#N/A,FALSE,"pool_97";#N/A,#N/A,FALSE,"syn_pool_97";#N/A,#N/A,FALSE,"pool1_FY2"}</definedName>
    <definedName name="ewet3" hidden="1">Main.SAPF4Help()</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hidden="1">{#N/A,#N/A,TRUE,"Cover Page";#N/A,#N/A,TRUE,"Summary";#N/A,#N/A,TRUE,"Acquisition Analysis";#N/A,#N/A,TRUE,"Pro Forma";#N/A,#N/A,TRUE,"Sensitivity";#N/A,#N/A,TRUE,"Inputs"}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hidden="1">{"standalone1",#N/A,FALSE,"DCFBase";"standalone2",#N/A,FALSE,"DCFBase"}</definedName>
    <definedName name="fasdfasdfc" hidden="1">{"Print Top",#N/A,FALSE,"Europe Model";"Print Bottom",#N/A,FALSE,"Europe Model"}</definedName>
    <definedName name="FD" hidden="1">{"IS w Ratios",#N/A,FALSE,"Europe";"PF CF Europe",#N/A,FALSE,"Europe";"DCF Eur Matrix",#N/A,FALSE,"Europe"}</definedName>
    <definedName name="fddfd" hidden="1">{#N/A,#N/A,FALSE,"CreditStat";#N/A,#N/A,FALSE,"SPbrkup";#N/A,#N/A,FALSE,"MerSPsyn";#N/A,#N/A,FALSE,"MerSPwKCsyn";#N/A,#N/A,FALSE,"MerSPwKCsyn (2)";#N/A,#N/A,FALSE,"CreditStat (2)"}</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3"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3"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hidden="1">{"standalone1",#N/A,FALSE,"DCFBase";"standalone2",#N/A,FALSE,"DCFBase"}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hidden="1">{"sweden",#N/A,FALSE,"Sweden";"germany",#N/A,FALSE,"Germany";"portugal",#N/A,FALSE,"Portugal";"belgium",#N/A,FALSE,"Belgium";"japan",#N/A,FALSE,"Japan ";"italy",#N/A,FALSE,"Italy";"spain",#N/A,FALSE,"Spain";"korea",#N/A,FALSE,"Korea"}</definedName>
    <definedName name="fff" hidden="1">{"Assumptions1",#N/A,FALSE,"Assumptions";"MergerPlans1","20yearamort",FALSE,"MergerPlans";"MergerPlans1","40yearamort",FALSE,"MergerPlans";"MergerPlans2",#N/A,FALSE,"MergerPlans";"inputs",#N/A,FALSE,"MergerPlans"}</definedName>
    <definedName name="ffffff" hidden="1">{"budget992000 capex",#N/A,FALSE,"Celtel alternative 6"}</definedName>
    <definedName name="fgfgf" hidden="1">{"subs",#N/A,FALSE,"database ";"proportional",#N/A,FALSE,"database "}</definedName>
    <definedName name="fggfh" hidden="1">{#N/A,#N/A,TRUE,"Cover Page";#N/A,#N/A,TRUE,"Summary";#N/A,#N/A,TRUE,"Acquisition Analysis";#N/A,#N/A,TRUE,"Acquiror Financials";#N/A,#N/A,TRUE,"Target Financials";#N/A,#N/A,TRUE,"Pro Forma";#N/A,#N/A,TRUE,"Shares";#N/A,#N/A,TRUE,"ESOP Recon";#N/A,#N/A,TRUE,"IRR";#N/A,#N/A,TRUE,"Sensitivity";#N/A,#N/A,TRUE,"Inputs"}</definedName>
    <definedName name="fgh" hidden="1">{#N/A,#N/A,FALSE,"ORIX CSC"}</definedName>
    <definedName name="fghdfhgd" localSheetId="0" hidden="1">#REF!</definedName>
    <definedName name="fghdfhgd" localSheetId="2" hidden="1">#REF!</definedName>
    <definedName name="fghdfhgd" localSheetId="3" hidden="1">#REF!</definedName>
    <definedName name="fghdfhgd" localSheetId="12" hidden="1">#REF!</definedName>
    <definedName name="fghdfhgd" localSheetId="13" hidden="1">#REF!</definedName>
    <definedName name="fghdfhgd" localSheetId="14" hidden="1">#REF!</definedName>
    <definedName name="fghdfhgd" localSheetId="16" hidden="1">#REF!</definedName>
    <definedName name="fghdfhgd" hidden="1">#REF!</definedName>
    <definedName name="Fig" hidden="1">{"det (May)",#N/A,FALSE,"June";"sum (MAY YTD)",#N/A,FALSE,"June YTD"}</definedName>
    <definedName name="finance" hidden="1">{"standalone1",#N/A,FALSE,"DCFBase";"standalone2",#N/A,FALSE,"DCFBase"}</definedName>
    <definedName name="finans" hidden="1">{#N/A,#N/A,FALSE,"Antony Financials";#N/A,#N/A,FALSE,"Cowboy Financials";#N/A,#N/A,FALSE,"Combined";#N/A,#N/A,FALSE,"Valuematrix";#N/A,#N/A,FALSE,"DCFAntony";#N/A,#N/A,FALSE,"DCFCowboy";#N/A,#N/A,FALSE,"DCFCombined"}</definedName>
    <definedName name="fine" hidden="1">{"standalone1",#N/A,FALSE,"DCFBase";"standalone2",#N/A,FALSE,"DCFBase"}</definedName>
    <definedName name="Folder" localSheetId="13">#REF!</definedName>
    <definedName name="Folder" localSheetId="14">#REF!</definedName>
    <definedName name="Folder">#REF!</definedName>
    <definedName name="Frank" hidden="1">{#N/A,#N/A,TRUE,"Cover sheet";#N/A,#N/A,TRUE,"DCF analysis";#N/A,#N/A,TRUE,"WACC calculation"}</definedName>
    <definedName name="FSDF" hidden="1">{"IS FE with Ratios",#N/A,FALSE,"Far East";"PF CF Far East",#N/A,FALSE,"Far East";"DCF Far East Matrix",#N/A,FALSE,"Far East"}</definedName>
    <definedName name="FSoPacific" hidden="1">{"BS",#N/A,FALSE,"USA"}</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hidden="1">{"mgmt forecast",#N/A,FALSE,"Mgmt Forecast";"dcf table",#N/A,FALSE,"Mgmt Forecast";"sensitivity",#N/A,FALSE,"Mgmt Forecast";"table inputs",#N/A,FALSE,"Mgmt Forecast";"calculations",#N/A,FALSE,"Mgmt Forecast"}</definedName>
    <definedName name="gbfb" hidden="1">{"NA Top",#N/A,FALSE,"NA-ULV";"NA Bottom",#N/A,FALSE,"NA-ULV"}</definedName>
    <definedName name="gd" hidden="1">{#N/A,#N/A,FALSE,"CreditStat";#N/A,#N/A,FALSE,"SPbrkup";#N/A,#N/A,FALSE,"MerSPsyn";#N/A,#N/A,FALSE,"MerSPwKCsyn";#N/A,#N/A,FALSE,"MerSPwKCsyn (2)";#N/A,#N/A,FALSE,"CreditStat (2)"}</definedName>
    <definedName name="gdgfdsf" hidden="1">{"Eur Base Top",#N/A,FALSE,"Europe Base";"Eur Base Bottom",#N/A,FALSE,"Europe Base"}</definedName>
    <definedName name="george" hidden="1">{"targetdcf",#N/A,FALSE,"Merger consequences";"TARGETASSU",#N/A,FALSE,"Merger consequences";"TERMINAL VALUE",#N/A,FALSE,"Merger consequences"}</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hidden="1">{#N/A,#N/A,FALSE,"A&amp;E";#N/A,#N/A,FALSE,"HighTop";#N/A,#N/A,FALSE,"JG";#N/A,#N/A,FALSE,"RI";#N/A,#N/A,FALSE,"woHT";#N/A,#N/A,FALSE,"woHT&amp;JG"}</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hidden="1">{"JG FE Top",#N/A,FALSE,"JG FE $";"JG FE Bottom",#N/A,FALSE,"JG FE $"}</definedName>
    <definedName name="gggdsattt" hidden="1">{"page1",#N/A,FALSE,"Temp";"page2",#N/A,FALSE,"Temp";"page3",#N/A,FALSE,"Temp";"page4",#N/A,FALSE,"Temp";"page5",#N/A,FALSE,"Temp";"page6",#N/A,FALSE,"Temp"}</definedName>
    <definedName name="ggggg" hidden="1">{"budget992000_customers",#N/A,FALSE,"Celtel alternative 6"}</definedName>
    <definedName name="ggggggg" hidden="1">{"budget992000 profit and loss",#N/A,FALSE,"Celtel alternative 6"}</definedName>
    <definedName name="gh" hidden="1">{#N/A,#N/A,FALSE,"CreditStat";#N/A,#N/A,FALSE,"SPbrkup";#N/A,#N/A,FALSE,"MerSPsyn";#N/A,#N/A,FALSE,"MerSPwKCsyn";#N/A,#N/A,FALSE,"MerSPwKCsyn (2)";#N/A,#N/A,FALSE,"CreditStat (2)"}</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2" hidden="1">{#N/A,#N/A,FALSE,"fnma22pi";#N/A,#N/A,FALSE,"1888144"}</definedName>
    <definedName name="ghjtj" localSheetId="3" hidden="1">{#N/A,#N/A,FALSE,"fnma22pi";#N/A,#N/A,FALSE,"1888144"}</definedName>
    <definedName name="ghjtj" localSheetId="7" hidden="1">{#N/A,#N/A,FALSE,"fnma22pi";#N/A,#N/A,FALSE,"1888144"}</definedName>
    <definedName name="ghjtj" localSheetId="12"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hidden="1">{#N/A,#N/A,FALSE,"fnma22pi";#N/A,#N/A,FALSE,"1888144"}</definedName>
    <definedName name="gjgjg" hidden="1">{"IS FE with Ratios",#N/A,FALSE,"Far East";"PF CF Far East",#N/A,FALSE,"Far East";"DCF Far East Matrix",#N/A,FALSE,"Far East"}</definedName>
    <definedName name="gogo" hidden="1">{#N/A,#N/A,TRUE,"Cover sheet";#N/A,#N/A,TRUE,"INPUTS";#N/A,#N/A,TRUE,"OUTPUTS";#N/A,#N/A,TRUE,"VALUATION"}</definedName>
    <definedName name="gsdfgdsfg" hidden="1">{"IS w Ratios",#N/A,FALSE,"Europe";"PF CF Europe",#N/A,FALSE,"Europe";"DCF Eur Matrix",#N/A,FALSE,"Europe"}</definedName>
    <definedName name="gsdgfs" hidden="1">{"Far East Top",#N/A,FALSE,"FE Model";"Far East Bottom",#N/A,FALSE,"FE Model"}</definedName>
    <definedName name="hdf" hidden="1">{"mgmt forecast",#N/A,FALSE,"Mgmt Forecast";"dcf table",#N/A,FALSE,"Mgmt Forecast";"sensitivity",#N/A,FALSE,"Mgmt Forecast";"table inputs",#N/A,FALSE,"Mgmt Forecast";"calculations",#N/A,FALSE,"Mgmt Forecast"}</definedName>
    <definedName name="hdghdf" hidden="1">#N/A</definedName>
    <definedName name="hello" hidden="1">{"mgmt forecast",#N/A,FALSE,"Mgmt Forecast";"dcf table",#N/A,FALSE,"Mgmt Forecast";"sensitivity",#N/A,FALSE,"Mgmt Forecast";"table inputs",#N/A,FALSE,"Mgmt Forecast";"calculations",#N/A,FALSE,"Mgmt Forecast"}</definedName>
    <definedName name="hfds" hidden="1">{"IS w Ratios",#N/A,FALSE,"Europe";"PF CF Europe",#N/A,FALSE,"Europe";"DCF Eur Matrix",#N/A,FALSE,"Europe"}</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{"JG FE Top",#N/A,FALSE,"JG FE $";"JG FE Bottom",#N/A,FALSE,"JG FE $"}</definedName>
    <definedName name="hgfhdfg" hidden="1">{"NA Top",#N/A,FALSE,"NA Model";"NA Bottom",#N/A,FALSE,"NA Model"}</definedName>
    <definedName name="hgfhsf" hidden="1">{#N/A,#N/A,TRUE,"Cover Page";#N/A,#N/A,TRUE,"Summary";#N/A,#N/A,TRUE,"Acquisition Analysis";#N/A,#N/A,TRUE,"Pro Forma";#N/A,#N/A,TRUE,"Sensitivity";#N/A,#N/A,TRUE,"Inputs"}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hidden="1">{"JG FE Top",#N/A,FALSE,"JG FE ¥";"JG FE Bottom",#N/A,FALSE,"JG FE ¥"}</definedName>
    <definedName name="hhhsdf" hidden="1">{"up stand alones",#N/A,FALSE,"Acquiror"}</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hidden="1">{"AR",#N/A,FALSE,"ASMGTSUM";"INV",#N/A,FALSE,"ASMGTSUM";"HCCOMP",#N/A,FALSE,"ASMGTSUM";"cap.depr",#N/A,FALSE,"ASMGTSUM"}</definedName>
    <definedName name="hsfg" hidden="1">{"JG FE Top",#N/A,FALSE,"JG FE $";"JG FE Bottom",#N/A,FALSE,"JG FE $"}</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hidden="1">{#N/A,#N/A,FALSE,"A&amp;E";#N/A,#N/A,FALSE,"HighTop";#N/A,#N/A,FALSE,"JG";#N/A,#N/A,FALSE,"RI";#N/A,#N/A,FALSE,"woHT";#N/A,#N/A,FALSE,"woHT&amp;JG"}</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2" hidden="1">{"'Description'!$A$1:$G$45"}</definedName>
    <definedName name="HTML_Control" localSheetId="3"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0" hidden="1">{"'Description'!$A$1:$G$45"}</definedName>
    <definedName name="HTML_Control" localSheetId="12"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erestType" hidden="1">#REF!</definedName>
    <definedName name="Investor" localSheetId="13">#REF!</definedName>
    <definedName name="Investor" localSheetId="14">#REF!</definedName>
    <definedName name="Investor">#REF!</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hidden="1">{"det (May)",#N/A,FALSE,"June";"sum (MAY YTD)",#N/A,FALSE,"June YTD"}</definedName>
    <definedName name="ıopıopıp"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hidden="1">{"Print Top",#N/A,FALSE,"Europe Model";"Print Bottom",#N/A,FALSE,"Europe Model"}</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hidden="1">{#N/A,#N/A,FALSE,"CreditStat";#N/A,#N/A,FALSE,"SPbrkup";#N/A,#N/A,FALSE,"MerSPsyn";#N/A,#N/A,FALSE,"MerSPwKCsyn";#N/A,#N/A,FALSE,"MerSPwKCsyn (2)";#N/A,#N/A,FALSE,"CreditStat (2)"}</definedName>
    <definedName name="jjjj" hidden="1">{"Assumptions",#N/A,FALSE,"Sheet1";"Main Report",#N/A,FALSE,"Sheet1";"Results",#N/A,FALSE,"Sheet1";"Advances",#N/A,FALSE,"Sheet1"}</definedName>
    <definedName name="jjyfdjddjd" hidden="1">#N/A</definedName>
    <definedName name="jk" hidden="1">{#N/A,#N/A,FALSE,"FY97";#N/A,#N/A,FALSE,"FY98";#N/A,#N/A,FALSE,"FY99";#N/A,#N/A,FALSE,"FY00";#N/A,#N/A,FALSE,"FY01"}</definedName>
    <definedName name="jkşş" hidden="1">{"det (May)",#N/A,FALSE,"June";"sum (MAY YTD)",#N/A,FALSE,"June YTD"}</definedName>
    <definedName name="jljl" hidden="1">{"det (May)",#N/A,FALSE,"June";"sum (MAY YTD)",#N/A,FALSE,"June YTD"}</definedName>
    <definedName name="jnv" hidden="1">{#N/A,#N/A,FALSE,"Hoja1";#N/A,#N/A,FALSE,"Hoja2"}</definedName>
    <definedName name="JOE" hidden="1">{"Assumptions",#N/A,FALSE,"Model"}</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hidden="1">{"Dayanıklı tüketim",#N/A,FALSE,"9511kar(TL)"}</definedName>
    <definedName name="kasım_1" hidden="1">{"KOÇ TOP 2",#N/A,FALSE,"9511kar(TL)"}</definedName>
    <definedName name="kasım_2" hidden="1">{"Tofaş",#N/A,FALSE,"9511kar(TL)"}</definedName>
    <definedName name="kdfjkdfjfjd" hidden="1">{0,0,0,0}</definedName>
    <definedName name="kegs" hidden="1">{"det (May)",#N/A,FALSE,"June";"sum (MAY YTD)",#N/A,FALSE,"June YTD"}</definedName>
    <definedName name="kgnvbdneke" hidden="1">#REF!</definedName>
    <definedName name="KH" hidden="1">Main.SAPF4Help()</definedName>
    <definedName name="khyu" localSheetId="0" hidden="1">#REF!</definedName>
    <definedName name="khyu" localSheetId="2" hidden="1">#REF!</definedName>
    <definedName name="khyu" localSheetId="3" hidden="1">#REF!</definedName>
    <definedName name="khyu" localSheetId="12" hidden="1">#REF!</definedName>
    <definedName name="khyu" localSheetId="13" hidden="1">#REF!</definedName>
    <definedName name="khyu" localSheetId="14" hidden="1">#REF!</definedName>
    <definedName name="khyu" localSheetId="16" hidden="1">#REF!</definedName>
    <definedName name="khyu" hidden="1">#REF!</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hidden="1">{#N/A,#N/A,FALSE,"ORIX CSC"}</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hidden="1">{"det (May)",#N/A,FALSE,"June";"sum (MAY YTD)",#N/A,FALSE,"June YTD"}</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hidden="1">{"det (May)",#N/A,FALSE,"June";"sum (MAY YTD)",#N/A,FALSE,"June YTD"}</definedName>
    <definedName name="kl" hidden="1">{#N/A,#N/A,FALSE,"FY97";#N/A,#N/A,FALSE,"FY98";#N/A,#N/A,FALSE,"FY99";#N/A,#N/A,FALSE,"FY00";#N/A,#N/A,FALSE,"FY01"}</definedName>
    <definedName name="kmh" hidden="1">{#N/A,#N/A,TRUE,"Cover sheet";#N/A,#N/A,TRUE,"DCF analysis";#N/A,#N/A,TRUE,"WACC calculation"}</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hidden="1">{"det (May)",#N/A,FALSE,"June";"sum (MAY YTD)",#N/A,FALSE,"June YTD"}</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hidden="1">{"det (May)",#N/A,FALSE,"June";"sum (MAY YTD)",#N/A,FALSE,"June YTD"}</definedName>
    <definedName name="M" localSheetId="0" hidden="1">{#N/A,#N/A,FALSE,"fnma22pi";#N/A,#N/A,FALSE,"1888144"}</definedName>
    <definedName name="M" localSheetId="2" hidden="1">{#N/A,#N/A,FALSE,"fnma22pi";#N/A,#N/A,FALSE,"1888144"}</definedName>
    <definedName name="M" localSheetId="3"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0" hidden="1">{#N/A,#N/A,FALSE,"fnma22pi";#N/A,#N/A,FALSE,"1888144"}</definedName>
    <definedName name="M" localSheetId="12"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hidden="1">{#N/A,#N/A,FALSE,"fnma22pi";#N/A,#N/A,FALSE,"1888144"}</definedName>
    <definedName name="mb_inputLocation" hidden="1">#REF!</definedName>
    <definedName name="mizan" hidden="1">#REF!</definedName>
    <definedName name="mj" hidden="1">{#N/A,#N/A,FALSE,"FY97";#N/A,#N/A,FALSE,"FY98";#N/A,#N/A,FALSE,"FY99";#N/A,#N/A,FALSE,"FY00";#N/A,#N/A,FALSE,"FY01"}</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hidden="1">{"det (May)",#N/A,FALSE,"June";"sum (MAY YTD)",#N/A,FALSE,"June YTD"}</definedName>
    <definedName name="New" hidden="1">{"subs",#N/A,FALSE,"database ";"proportional",#N/A,FALSE,"database "}</definedName>
    <definedName name="newDC" hidden="1">{#N/A,#N/A,TRUE,"Cover sheet";#N/A,#N/A,TRUE,"DCF analysis";#N/A,#N/A,TRUE,"WACC calculation"}</definedName>
    <definedName name="newer" hidden="1">{#N/A,#N/A,FALSE,"Sheet1"}</definedName>
    <definedName name="newer2" hidden="1">{#N/A,#N/A,FALSE,"Sheet1"}</definedName>
    <definedName name="NewSummary" hidden="1">{#N/A,#N/A,FALSE,"Cover";#N/A,#N/A,FALSE,"Projections";#N/A,#N/A,FALSE,"10 Year Summary";#N/A,#N/A,FALSE,"Balance Sheet Summary";#N/A,#N/A,FALSE,"Adjustments";#N/A,#N/A,FALSE,"Discount Rate";#N/A,#N/A,FALSE,"Comps";#N/A,#N/A,FALSE,"Executive Comp"}</definedName>
    <definedName name="ni" hidden="1">{#N/A,#N/A,FALSE,"2";#N/A,#N/A,FALSE,"2,1";#N/A,#N/A,FALSE,"Var annue tit.imm. ";#N/A,#N/A,FALSE,"2,3";#N/A,#N/A,FALSE,"Var annue titoli - prospetto"}</definedName>
    <definedName name="nn" hidden="1">{#N/A,#N/A,FALSE,"All Bus A";#N/A,#N/A,FALSE,"All Bus B";#N/A,#N/A,FALSE,"Tot UK A";#N/A,#N/A,FALSE,"Tot UK B";#N/A,#N/A,FALSE,"UK Dt A";#N/A,#N/A,FALSE,"UK Dt B";#N/A,#N/A,FALSE,"UK Bd A";#N/A,#N/A,FALSE,"UK Bd B";#N/A,#N/A,FALSE,"Int A";#N/A,#N/A,FALSE,"Int B"}</definedName>
    <definedName name="No" hidden="1">{#N/A,#N/A,FALSE,"Summary";#N/A,#N/A,FALSE,"Returns";#N/A,#N/A,FALSE,"IS";#N/A,#N/A,FALSE,"CFS";#N/A,#N/A,FALSE,"Opening BS";#N/A,#N/A,FALSE,"BS";#N/A,#N/A,FALSE,"Int. Rates";#N/A,#N/A,FALSE,"Int. Cost";#N/A,#N/A,FALSE,"Fees";#N/A,#N/A,FALSE,"Ratios";#N/A,#N/A,FALSE,"DCF"}</definedName>
    <definedName name="noidea" hidden="1">{#N/A,#N/A,FALSE,"Calc";#N/A,#N/A,FALSE,"Sensitivity";#N/A,#N/A,FALSE,"LT Earn.Dil.";#N/A,#N/A,FALSE,"Dil. AVP"}</definedName>
    <definedName name="NOIDEA2" hidden="1">{#N/A,#N/A,FALSE,"Calc";#N/A,#N/A,FALSE,"Sensitivity";#N/A,#N/A,FALSE,"LT Earn.Dil.";#N/A,#N/A,FALSE,"Dil. AVP"}</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hidden="1">{#N/A,#N/A,FALSE,"Development";#N/A,#N/A,FALSE,"Summary";#N/A,#N/A,FALSE,"People Time";#N/A,#N/A,FALSE,"Summary of People";#N/A,#N/A,FALSE,"Planing"}</definedName>
    <definedName name="oj" hidden="1">{#N/A,#N/A,FALSE,"RGD$";#N/A,#N/A,FALSE,"BG$";#N/A,#N/A,FALSE,"FC$"}</definedName>
    <definedName name="ömnö" hidden="1">{"det (May)",#N/A,FALSE,"June";"sum (MAY YTD)",#N/A,FALSE,"June YTD"}</definedName>
    <definedName name="ooo" hidden="1">{"IS FE with Ratios",#N/A,FALSE,"Far East";"PF CF Far East",#N/A,FALSE,"Far East";"DCF Far East Matrix",#N/A,FALSE,"Far East"}</definedName>
    <definedName name="OP" hidden="1">{#N/A,#N/A,FALSE,"Operations";#N/A,#N/A,FALSE,"Financials"}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 localSheetId="13">#REF!</definedName>
    <definedName name="pdfendname">#REF!</definedName>
    <definedName name="perbolag" hidden="1">{#N/A,#N/A,FALSE,"intag";#N/A,#N/A,FALSE,"budg";#N/A,#N/A,FALSE,"samtl"}</definedName>
    <definedName name="pi"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hidden="1">{"det (May)",#N/A,FALSE,"June";"sum (MAY YTD)",#N/A,FALSE,"June YTD"}</definedName>
    <definedName name="pop" hidden="1">{"det (May)",#N/A,FALSE,"June";"sum (MAY YTD)",#N/A,FALSE,"June YTD"}</definedName>
    <definedName name="ppp" hidden="1">{"Far East Top",#N/A,FALSE,"FE Model";"Far East Mid",#N/A,FALSE,"FE Model";"Far East Base",#N/A,FALSE,"FE Model"}</definedName>
    <definedName name="Pres" hidden="1">{#N/A,#N/A,TRUE,"Cover sheet";#N/A,#N/A,TRUE,"Summary";#N/A,#N/A,TRUE,"Key Assumptions";#N/A,#N/A,TRUE,"Profit &amp; Loss";#N/A,#N/A,TRUE,"Balance Sheet";#N/A,#N/A,TRUE,"Cashflow";#N/A,#N/A,TRUE,"IRR";#N/A,#N/A,TRUE,"Ratios";#N/A,#N/A,TRUE,"Debt analysis"}</definedName>
    <definedName name="Pres2" hidden="1">{"Print Top",#N/A,FALSE,"Europe Model";"Print Bottom",#N/A,FALSE,"Europe Model"}</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Cover'!$A$1:$I$49</definedName>
    <definedName name="_xlnm.Print_Area" localSheetId="2">'01 - Summary'!$A$1:$J$55</definedName>
    <definedName name="_xlnm.Print_Area" localSheetId="3">'02 - Eligibility Criteria'!$A$1:$M$67</definedName>
    <definedName name="_xlnm.Print_Area" localSheetId="6">'05 - Prepayment Rate'!$A$1:$H$72</definedName>
    <definedName name="_xlnm.Print_Area" localSheetId="7">'06 - Asset Amortisation Profile'!$A$1:$I$239</definedName>
    <definedName name="_xlnm.Print_Area" localSheetId="9">'08 - Delinquent Home Loans Stat'!$A$1:$L$72</definedName>
    <definedName name="_xlnm.Print_Area" localSheetId="10">'09 - Default &amp; Recovery Stat'!$A$1:$I$72</definedName>
    <definedName name="_xlnm.Print_Area" localSheetId="12">'11 - Notes Follow-up'!$A$1:$Y$220</definedName>
    <definedName name="_xlnm.Print_Area" localSheetId="13">'12 - Notes Interest'!$A$2:$J$26</definedName>
    <definedName name="_xlnm.Print_Area" localSheetId="14">'13 - Issuer Account'!$A$1:$R$70</definedName>
    <definedName name="_xlnm.Print_Area" localSheetId="15">'14 - Fees'!$A$1:$K$75</definedName>
    <definedName name="_xlnm.Print_Area" localSheetId="26">'15 - OD'!$A$1:$N$61</definedName>
    <definedName name="_xlnm.Print_Area" localSheetId="16">'15 - Priority of Payments'!$A$1:$N$95</definedName>
    <definedName name="_xlnm.Print_Area" localSheetId="17">'16 - Simplified Balance Sheet'!$A$1:$L$28</definedName>
    <definedName name="print4" hidden="1">{#N/A,#N/A,FALSE,"Operations";#N/A,#N/A,FALSE,"Financials"}</definedName>
    <definedName name="PRO" hidden="1">{"det (May)",#N/A,FALSE,"June";"sum (MAY YTD)",#N/A,FALSE,"June YTD"}</definedName>
    <definedName name="prof" hidden="1">{#N/A,#N/A,FALSE,"A3";#N/A,#N/A,FALSE,"AT2";#N/A,#N/A,FALSE,"PA2";#N/A,#N/A,FALSE,"GI2";#N/A,#N/A,FALSE,"EC2"}</definedName>
    <definedName name="qq" hidden="1">{#N/A,#N/A,FALSE,"Aging Summary";#N/A,#N/A,FALSE,"Ratio Analysis";#N/A,#N/A,FALSE,"Test 120 Day Accts";#N/A,#N/A,FALSE,"Tickmarks"}</definedName>
    <definedName name="qqq" hidden="1">{"NA Is w Ratios",#N/A,FALSE,"North America";"PF CFlow NA",#N/A,FALSE,"North America";"NA DCF Matrix",#N/A,FALSE,"North America"}</definedName>
    <definedName name="qqqq" hidden="1">{#N/A,#N/A,TRUE,"Sales Comparison";#N/A,#N/A,TRUE,"Cum. Summary FFR";#N/A,#N/A,TRUE,"Monthly Summary FFR";#N/A,#N/A,TRUE,"Cum. Summary TL";#N/A,#N/A,TRUE,"Monthly Summary TL"}</definedName>
    <definedName name="qqqqq" hidden="1">{#N/A,#N/A,FALSE,"Aging Summary";#N/A,#N/A,FALSE,"Ratio Analysis";#N/A,#N/A,FALSE,"Test 120 Day Accts";#N/A,#N/A,FALSE,"Tickmarks"}</definedName>
    <definedName name="qqqqqq" hidden="1">{#N/A,#N/A,FALSE,"Aging Summary";#N/A,#N/A,FALSE,"Ratio Analysis";#N/A,#N/A,FALSE,"Test 120 Day Accts";#N/A,#N/A,FALSE,"Tickmarks"}</definedName>
    <definedName name="qsfd" hidden="1">{#N/A,#N/A,TRUE,"Cover sheet";#N/A,#N/A,TRUE,"INPUTS";#N/A,#N/A,TRUE,"OUTPUTS";#N/A,#N/A,TRUE,"VALUATION"}</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hidden="1">{#N/A,#N/A,FALSE,"JKFLASH2";#N/A,#N/A,FALSE,"Page 4";#N/A,#N/A,FALSE,"page 3"}</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3"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hidden="1">{"cap_structure",#N/A,FALSE,"Graph-Mkt Cap";"price",#N/A,FALSE,"Graph-Price";"ebit",#N/A,FALSE,"Graph-EBITDA";"ebitda",#N/A,FALSE,"Graph-EBITDA"}</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hidden="1">{0,0,"",0;0,0,0,0;0,0,0,0;0,0,0,0;0,0,0,0}</definedName>
    <definedName name="removed_name7" hidden="1">{0,0,"",0;0,0,0,0;0,0,0,0;0,0,0,0;0,0,0,0}</definedName>
    <definedName name="RepaymentType" hidden="1">#REF!</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hidden="1">{"hiden",#N/A,FALSE,"14";"hidden",#N/A,FALSE,"16";"hidden",#N/A,FALSE,"18";"hidden",#N/A,FALSE,"20"}</definedName>
    <definedName name="rrrrrr" hidden="1">{"cash plan",#N/A,FALSE,"fccashflow"}</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hidden="1">Main.SAPF4Help()</definedName>
    <definedName name="sbx" hidden="1">{"Consolidated IS w Ratios",#N/A,FALSE,"Consolidated";"Consolidated CF",#N/A,FALSE,"Consolidated";"Consolidated DCF",#N/A,FALSE,"Consolidated"}</definedName>
    <definedName name="scb" hidden="1">{#N/A,#N/A,FALSE,"Japan 2003";#N/A,#N/A,FALSE,"Sheet2"}</definedName>
    <definedName name="sd" hidden="1">{#N/A,#N/A,FALSE,"Contribution Analysis"}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hidden="1">{"JG FE Top",#N/A,FALSE,"JG FE $";"JG FE Bottom",#N/A,FALSE,"JG FE $"}</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hidden="1">{"det (May)",#N/A,FALSE,"June";"sum (MAY YTD)",#N/A,FALSE,"June YTD"}</definedName>
    <definedName name="sdfdsf" hidden="1">{"det (May)",#N/A,FALSE,"June";"sum (MAY YTD)",#N/A,FALSE,"June YTD"}</definedName>
    <definedName name="sdff" localSheetId="0" hidden="1">#REF!</definedName>
    <definedName name="sdff" localSheetId="2" hidden="1">#REF!</definedName>
    <definedName name="sdff" localSheetId="3" hidden="1">#REF!</definedName>
    <definedName name="sdff" localSheetId="12" hidden="1">#REF!</definedName>
    <definedName name="sdff" localSheetId="13" hidden="1">#REF!</definedName>
    <definedName name="sdff" localSheetId="14" hidden="1">#REF!</definedName>
    <definedName name="sdff" localSheetId="16" hidden="1">#REF!</definedName>
    <definedName name="sdff" hidden="1">#REF!</definedName>
    <definedName name="sdfg" hidden="1">{"mgmt forecast",#N/A,FALSE,"Mgmt Forecast";"dcf table",#N/A,FALSE,"Mgmt Forecast";"sensitivity",#N/A,FALSE,"Mgmt Forecast";"table inputs",#N/A,FALSE,"Mgmt Forecast";"calculations",#N/A,FALSE,"Mgmt Forecast"}</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{"Far East Top",#N/A,FALSE,"FE Model";"Far East Mid",#N/A,FALSE,"FE Model";"Far East Base",#N/A,FALSE,"FE Model"}</definedName>
    <definedName name="sdfsda" hidden="1">{"standalone1",#N/A,FALSE,"DCFBase";"standalone2",#N/A,FALSE,"DCFBase"}</definedName>
    <definedName name="sdfsdf" localSheetId="0" hidden="1">#REF!</definedName>
    <definedName name="sdfsdf" localSheetId="2" hidden="1">#REF!</definedName>
    <definedName name="sdfsdf" localSheetId="3" hidden="1">#REF!</definedName>
    <definedName name="sdfsdf" localSheetId="12" hidden="1">#REF!</definedName>
    <definedName name="sdfsdf" localSheetId="13" hidden="1">#REF!</definedName>
    <definedName name="sdfsdf" localSheetId="14" hidden="1">#REF!</definedName>
    <definedName name="sdfsdf" localSheetId="16" hidden="1">#REF!</definedName>
    <definedName name="sdfsdf" hidden="1">#REF!</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sds" hidden="1">{"standalone1",#N/A,FALSE,"DCFBase";"standalone2",#N/A,FALSE,"DCFBase"}</definedName>
    <definedName name="secteur" localSheetId="12">#REF!</definedName>
    <definedName name="secteur" localSheetId="13">#REF!</definedName>
    <definedName name="secteur" localSheetId="14">#REF!</definedName>
    <definedName name="secteur">#REF!</definedName>
    <definedName name="sencount" hidden="1">1</definedName>
    <definedName name="ses" hidden="1">{"RESUMEN",#N/A,FALSE,"RESUMEN";"RESUMEN_MARG",#N/A,FALSE,"RESUMEN"}</definedName>
    <definedName name="sfd" hidden="1">{#N/A,#N/A,FALSE,"Hoja1";#N/A,#N/A,FALSE,"Hoja2"}</definedName>
    <definedName name="sfdg" hidden="1">{#N/A,#N/A,FALSE,"A&amp;E";#N/A,#N/A,FALSE,"HighTop";#N/A,#N/A,FALSE,"JG";#N/A,#N/A,FALSE,"RI";#N/A,#N/A,FALSE,"woHT";#N/A,#N/A,FALSE,"woHT&amp;JG"}</definedName>
    <definedName name="SFDGHH" hidden="1">{#N/A,#N/A,TRUE,"Cover Page";#N/A,#N/A,TRUE,"Summary";#N/A,#N/A,TRUE,"Acquisition Analysis";#N/A,#N/A,TRUE,"Pro Forma";#N/A,#N/A,TRUE,"Sensitivity";#N/A,#N/A,TRUE,"Inputs"}</definedName>
    <definedName name="sfgh" localSheetId="0" hidden="1">#REF!</definedName>
    <definedName name="sfgh" localSheetId="2" hidden="1">#REF!</definedName>
    <definedName name="sfgh" localSheetId="3" hidden="1">#REF!</definedName>
    <definedName name="sfgh" localSheetId="12" hidden="1">#REF!</definedName>
    <definedName name="sfgh" localSheetId="13" hidden="1">#REF!</definedName>
    <definedName name="sfgh" localSheetId="14" hidden="1">#REF!</definedName>
    <definedName name="sfgh" localSheetId="16" hidden="1">#REF!</definedName>
    <definedName name="sfgh" hidden="1">#REF!</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hidden="1">{#N/A,#N/A,TRUE,"Pro Forma";#N/A,#N/A,TRUE,"PF_Bal";#N/A,#N/A,TRUE,"PF_INC";#N/A,#N/A,TRUE,"CBE";#N/A,#N/A,TRUE,"SWK"}</definedName>
    <definedName name="sgagaga" hidden="1">{#N/A,#N/A,FALSE,"Antony Financials";#N/A,#N/A,FALSE,"Cowboy Financials";#N/A,#N/A,FALSE,"Combined";#N/A,#N/A,FALSE,"Valuematrix";#N/A,#N/A,FALSE,"DCFAntony";#N/A,#N/A,FALSE,"DCFCowboy";#N/A,#N/A,FALSE,"DCFCombined"}</definedName>
    <definedName name="sgsdfgds" hidden="1">{#N/A,#N/A,FALSE,"ORIX CSC"}</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hidden="1">{#N/A,#N/A,FALSE,"A&amp;E";#N/A,#N/A,FALSE,"HighTop";#N/A,#N/A,FALSE,"JG";#N/A,#N/A,FALSE,"RI";#N/A,#N/A,FALSE,"woHT";#N/A,#N/A,FALSE,"woHT&amp;JG"}</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hidden="1">{#N/A,#N/A,FALSE,"DAOCM 2차 검토"}</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hidden="1">{"det (May)",#N/A,FALSE,"June";"sum (MAY YTD)",#N/A,FALSE,"June YTD"}</definedName>
    <definedName name="ssqf" localSheetId="0" hidden="1">{"'Description'!$A$1:$G$45"}</definedName>
    <definedName name="ssqf" localSheetId="2" hidden="1">{"'Description'!$A$1:$G$45"}</definedName>
    <definedName name="ssqf" localSheetId="3" hidden="1">{"'Description'!$A$1:$G$45"}</definedName>
    <definedName name="ssqf" localSheetId="7" hidden="1">{"'Description'!$A$1:$G$45"}</definedName>
    <definedName name="ssqf" localSheetId="12" hidden="1">{"'Description'!$A$1:$G$45"}</definedName>
    <definedName name="ssqf" localSheetId="13" hidden="1">{"'Description'!$A$1:$G$45"}</definedName>
    <definedName name="ssqf" localSheetId="14" hidden="1">{"'Description'!$A$1:$G$45"}</definedName>
    <definedName name="ssqf" localSheetId="16" hidden="1">{"'Description'!$A$1:$G$45"}</definedName>
    <definedName name="ssqf" hidden="1">{"'Description'!$A$1:$G$45"}</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hidden="1">{#N/A,#N/A,TRUE,"Cover sheet";#N/A,#N/A,TRUE,"Summary";#N/A,#N/A,TRUE,"Key Assumptions";#N/A,#N/A,TRUE,"Profit &amp; Loss";#N/A,#N/A,TRUE,"Balance Sheet";#N/A,#N/A,TRUE,"Cashflow";#N/A,#N/A,TRUE,"IRR";#N/A,#N/A,TRUE,"Ratios";#N/A,#N/A,TRUE,"Debt analysis"}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hidden="1">{#N/A,#N/A,TRUE,"Cover sheet";#N/A,#N/A,TRUE,"Summary";#N/A,#N/A,TRUE,"Key Assumptions";#N/A,#N/A,TRUE,"Profit &amp; Loss";#N/A,#N/A,TRUE,"Balance Sheet";#N/A,#N/A,TRUE,"Cashflow";#N/A,#N/A,TRUE,"IRR";#N/A,#N/A,TRUE,"Ratios";#N/A,#N/A,TRUE,"Debt analysis"}</definedName>
    <definedName name="stella" hidden="1">{"det (May)",#N/A,FALSE,"June";"sum (MAY YTD)",#N/A,FALSE,"June YTD"}</definedName>
    <definedName name="Summary">'07 - Breakdown Statistics'!$B$25:$C$41</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hidden="1">{#N/A,#N/A,FALSE,"Output";#N/A,#N/A,FALSE,"Cover Sheet";#N/A,#N/A,FALSE,"Current Mkt. Projections"}</definedName>
    <definedName name="Tempme3" hidden="1">{#N/A,#N/A,FALSE,"Output";#N/A,#N/A,FALSE,"Cover Sheet";#N/A,#N/A,FALSE,"Current Mkt. Projections"}</definedName>
    <definedName name="Tempme4" hidden="1">{#N/A,#N/A,FALSE,"Output";#N/A,#N/A,FALSE,"Cover Sheet";#N/A,#N/A,FALSE,"Current Mkt. Projections"}</definedName>
    <definedName name="Tempo5" hidden="1">{#N/A,#N/A,FALSE,"Output";#N/A,#N/A,FALSE,"Cover Sheet";#N/A,#N/A,FALSE,"Current Mkt. Projections"}</definedName>
    <definedName name="Tempo5a" hidden="1">{#N/A,#N/A,FALSE,"Output";#N/A,#N/A,FALSE,"Cover Sheet";#N/A,#N/A,FALSE,"Current Mkt. Projections"}</definedName>
    <definedName name="Tenure" hidden="1">#REF!</definedName>
    <definedName name="tewataa" hidden="1">{"page1",#N/A,FALSE,"Temp";"page2",#N/A,FALSE,"Temp";"page3",#N/A,FALSE,"Temp";"page4",#N/A,FALSE,"Temp";"page5",#N/A,FALSE,"Temp";"page6",#N/A,FALSE,"Temp"}</definedName>
    <definedName name="TextRefCopyRangeCount" hidden="1">13</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hidden="1">{"IS FE with Ratios",#N/A,FALSE,"Far East";"PF CF Far East",#N/A,FALSE,"Far East";"DCF Far East Matrix",#N/A,FALSE,"Far East"}</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3"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2" hidden="1">{#N/A,#N/A,FALSE,"40645444";#N/A,#N/A,FALSE,"CITIBANK INTEREST"}</definedName>
    <definedName name="tyujyf" localSheetId="3"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hidden="1">{#N/A,#N/A,FALSE,"40645444";#N/A,#N/A,FALSE,"CITIBANK INTEREST"}</definedName>
    <definedName name="tyur"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hidden="1">{"det (May)",#N/A,FALSE,"June";"sum (MAY YTD)",#N/A,FALSE,"June YTD"}</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hidden="1">{"det (May)",#N/A,FALSE,"June";"sum (MAY YTD)",#N/A,FALSE,"June YTD"}</definedName>
    <definedName name="ujyt" hidden="1">{"test2",#N/A,TRUE,"Prices"}</definedName>
    <definedName name="uu" hidden="1">{"Eur Base Top",#N/A,FALSE,"Europe Base";"Eur Base Bottom",#N/A,FALSE,"Europe Base"}</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hidden="1">{"mgmt forecast",#N/A,FALSE,"Mgmt Forecast";"dcf table",#N/A,FALSE,"Mgmt Forecast";"sensitivity",#N/A,FALSE,"Mgmt Forecast";"table inputs",#N/A,FALSE,"Mgmt Forecast";"calculations",#N/A,FALSE,"Mgmt Forecast"}</definedName>
    <definedName name="vbn" hidden="1">{"Assumptions1",#N/A,FALSE,"Assumptions";"MergerPlans1","20yearamort",FALSE,"MergerPlans";"MergerPlans1","40yearamort",FALSE,"MergerPlans";"MergerPlans2",#N/A,FALSE,"MergerPlans";"inputs",#N/A,FALSE,"MergerPlans"}</definedName>
    <definedName name="vision"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hidden="1">{"IS FE with Ratios",#N/A,FALSE,"Far East";"PF CF Far East",#N/A,FALSE,"Far East";"DCF Far East Matrix",#N/A,FALSE,"Far East"}</definedName>
    <definedName name="vvvv" hidden="1">{"Far East Top",#N/A,FALSE,"FE Model";"Far East Bottom",#N/A,FALSE,"FE Model"}</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ntr.dcf" hidden="1">{"DCF1",#N/A,FALSE,"SIERRA DCF";"MATRIX1",#N/A,FALSE,"SIERRA DCF"}</definedName>
    <definedName name="wrn" hidden="1">{"vue1",#N/A,FALSE,"synthese";"vue2",#N/A,FALSE,"synthese"}</definedName>
    <definedName name="wrn.1." hidden="1">{#N/A,#N/A,FALSE,"Calc";#N/A,#N/A,FALSE,"Sensitivity";#N/A,#N/A,FALSE,"LT Earn.Dil.";#N/A,#N/A,FALSE,"Dil. AVP"}</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2." hidden="1">{#N/A,#N/A,FALSE,"Calc";#N/A,#N/A,FALSE,"Sensitivity";#N/A,#N/A,FALSE,"LT Earn.Dil.";#N/A,#N/A,FALSE,"Dil. AVP"}</definedName>
    <definedName name="wrn.2._.pagers." hidden="1">{"Cover",#N/A,FALSE,"Cover";"Summary",#N/A,FALSE,"Summarpage"}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hidden="1">{#N/A,"Base",FALSE,"Dividend";#N/A,"Conservative",FALSE,"Dividend";#N/A,"Downside",FALSE,"Dividend"}</definedName>
    <definedName name="wrn.40645444." localSheetId="0" hidden="1">{#N/A,#N/A,FALSE,"40645444";#N/A,#N/A,FALSE,"CITIBANK INTEREST"}</definedName>
    <definedName name="wrn.40645444." localSheetId="2" hidden="1">{#N/A,#N/A,FALSE,"40645444";#N/A,#N/A,FALSE,"CITIBANK INTEREST"}</definedName>
    <definedName name="wrn.40645444." localSheetId="3"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hidden="1">{#N/A,#N/A,FALSE,"40645444";#N/A,#N/A,FALSE,"CITIBANK INTEREST"}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hidden="1">{#N/A,#N/A,FALSE,"Sheet1";#N/A,#N/A,FALSE,"Sheet1";#N/A,#N/A,FALSE,"Sheet1"}</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hidden="1">{"S&amp;U",#N/A,FALSE,"s&amp;u";"financing",#N/A,FALSE,"Input";"financing2",#N/A,FALSE,"Input";"Balance Sheet",#N/A,FALSE,"BS";"P&amp;L",#N/A,FALSE,"P&amp;L";"Cashflow",#N/A,FALSE,"CF"}</definedName>
    <definedName name="wrn.Acquisition_matrix." hidden="1">{"Acq_matrix",#N/A,FALSE,"Acquisition Matrix"}</definedName>
    <definedName name="wrn.Adjustments."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hidden="1">{#N/A,#N/A,FALSE,"Aging Summary";#N/A,#N/A,FALSE,"Ratio Analysis";#N/A,#N/A,FALSE,"Test 120 Day Accts";#N/A,#N/A,FALSE,"Tickmarks"}</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hidden="1">{#N/A,#N/A,FALSE,"Sum";#N/A,#N/A,FALSE,"Presentation";#N/A,#N/A,FALSE,"Constr Alt 1";#N/A,#N/A,FALSE,"US PD";#N/A,#N/A,FALSE,"US Presentation";#N/A,#N/A,FALSE,"Operation";#N/A,#N/A,FALSE,"Schedule";#N/A,#N/A,FALSE,"Net area";#N/A,#N/A,FALSE,"Projection"}</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hidden="1">{#N/A,#N/A,FALSE,"Balance Sheet";#N/A,#N/A,FALSE,"Income Statement";#N/A,#N/A,FALSE,"Changes in Financial Position"}</definedName>
    <definedName name="wrn.ALLF." hidden="1">{"COF",#N/A,TRUE,"CONS";"JAF",#N/A,TRUE,"JAP";"HKF",#N/A,TRUE,"HK";#N/A,#N/A,TRUE,"SP";"TAF",#N/A,TRUE,"TAIW";"INF",#N/A,TRUE,"IND";"THF",#N/A,TRUE,"THAI";"MAF",#N/A,TRUE,"MAL"}</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hidden="1">{"Exist Debt Amort",#N/A,TRUE,"Financials";"Intangible Amort",#N/A,TRUE,"Financials";"Proj Debt Amort",#N/A,TRUE,"Financials";"Proj Pfd Amort",#N/A,TRUE,"Financials"}</definedName>
    <definedName name="wrn.Analysis." hidden="1">{"ratios",#N/A,FALSE,"Analyse";"multiples",#N/A,FALSE,"Analyse";"places",#N/A,FALSE,"Analyse"}</definedName>
    <definedName name="wrn.AnnualRentRoll" hidden="1">{"AnnualRentRoll",#N/A,FALSE,"RentRoll"}</definedName>
    <definedName name="wrn.AnnualRentRoll." hidden="1">{"AnnualRentRoll",#N/A,FALSE,"RentRoll"}</definedName>
    <definedName name="wrn.Apple._.Report." hidden="1">{#N/A,#N/A,FALSE,"Cover";#N/A,#N/A,FALSE,"Projections";#N/A,#N/A,FALSE,"10 Year Summary";#N/A,#N/A,FALSE,"Balance Sheet Summary";#N/A,#N/A,FALSE,"Adjustments";#N/A,#N/A,FALSE,"Discount Rate";#N/A,#N/A,FALSE,"Comps";#N/A,#N/A,FALSE,"Executive Comp"}</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{"Rev and Exp",#N/A,TRUE,"Financials";"Working Capital",#N/A,TRUE,"Financials"}</definedName>
    <definedName name="wrn.aug" hidden="1">{"det (May)",#N/A,FALSE,"June";"sum (MAY YTD)",#N/A,FALSE,"June YTD"}</definedName>
    <definedName name="wrn.augyt" hidden="1">{"det (May)",#N/A,FALSE,"June";"sum (MAY YTD)",#N/A,FALSE,"June YTD"}</definedName>
    <definedName name="wrn.augYTD" hidden="1">{"det (May)",#N/A,FALSE,"June";"sum (MAY YTD)",#N/A,FALSE,"June YTD"}</definedName>
    <definedName name="wrn.Auto._.Comp." hidden="1">{#N/A,#N/A,FALSE,"Sheet1"}</definedName>
    <definedName name="wrn.away." hidden="1">{"away stand alones",#N/A,FALSE,"Target"}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hidden="1">{#N/A,#N/A,FALSE,"Hoja1";#N/A,#N/A,FALSE,"Hoja2"}</definedName>
    <definedName name="wrn.Balance._.sheet." hidden="1">{"Balance sheet",#N/A,FALSE,"Model"}</definedName>
    <definedName name="wrn.baseDEV." hidden="1">{"cover",#N/A,TRUE,"Cover";"pnldet",#N/A,TRUE,"BaseCaseDEV";"pnl",#N/A,TRUE,"BaseCaseDEV";"bil",#N/A,TRUE,"BaseCaseDEV";"tabfi",#N/A,TRUE,"BaseCaseDEV";"ratios",#N/A,TRUE,"BaseCaseDEV";"variab",#N/A,TRUE,"BaseCaseDEV";"inv",#N/A,TRUE,"BaseCaseDEV"}</definedName>
    <definedName name="wrn.Basic._.Report." hidden="1">{#N/A,#N/A,FALSE,"New Depr Sch-150% DB";#N/A,#N/A,FALSE,"Cash Flows RLP";#N/A,#N/A,FALSE,"IRR";#N/A,#N/A,FALSE,"Proforma IS";#N/A,#N/A,FALSE,"Assumptions"}</definedName>
    <definedName name="wrn.Bilancio._.dicembre._.1995." hidden="1">{#N/A,#N/A,FALSE,"attivo";#N/A,#N/A,FALSE,"passivo";#N/A,#N/A,FALSE,"garanzie";#N/A,#N/A,FALSE,"economico";#N/A,#N/A,FALSE,"elenco";#N/A,#N/A,FALSE,"costo";#N/A,#N/A,FALSE,"patrimonio";#N/A,#N/A,FALSE,"temporali"}</definedName>
    <definedName name="wrn.brian." hidden="1">{#N/A,#N/A,FALSE,"output";#N/A,#N/A,FALSE,"contrib";#N/A,#N/A,FALSE,"profile";#N/A,#N/A,FALSE,"comps"}</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hidden="1">{"PMA Cap",#N/A,FALSE,"PMA Capital";"Re",#N/A,FALSE,"PMA Re";"PMA Group",#N/A,FALSE,"PMA Insur";"Caliber",#N/A,FALSE,"Caliber"}</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rofit._.and._.loss." hidden="1">{"budget992000 profit and loss",#N/A,FALSE,"Celtel alternative 6"}</definedName>
    <definedName name="wrn.budget._.tariffs._.and._.usage." hidden="1">{"budget992000 tariff and usage",#N/A,FALSE,"Celtel alternative 6"}</definedName>
    <definedName name="wrn.CAPITAL._.TODO." hidden="1">{"CAP VOL",#N/A,FALSE,"CAPITAL";"CAP VAR",#N/A,FALSE,"CAPITAL";"CAP FIJ",#N/A,FALSE,"CAPITAL";"CAP CONS",#N/A,FALSE,"CAPITAL";"CAP DATA",#N/A,FALSE,"CAPITAL"}</definedName>
    <definedName name="wrn.Cari._.Ay." hidden="1">{#N/A,#N/A,FALSE,"Bilanço";#N/A,#N/A,FALSE,"Kümülatif Gelir Tablosu";#N/A,#N/A,FALSE,"Aylık Gelir Tablosu";#N/A,#N/A,FALSE,"Raşyo 1"}</definedName>
    <definedName name="wrn.cash." hidden="1">{"assumption cash",#N/A,TRUE,"Merger";"has gets cash",#N/A,TRUE,"Merger";"accretion dilution",#N/A,TRUE,"Merger";"comparison credit stats",#N/A,TRUE,"Merger";"pf credit stats",#N/A,TRUE,"Merger";"pf sheets",#N/A,TRUE,"Merger"}</definedName>
    <definedName name="wrn.Cash._.flow." hidden="1">{"cash flow",#N/A,FALSE,"Model"}</definedName>
    <definedName name="wrn.Cash._.Plan." hidden="1">{"cash plan",#N/A,FALSE,"fccashflow"}</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hidden="1">{"Page1",#N/A,FALSE,"CompCo";"Page2",#N/A,FALSE,"CompCo"}</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hidden="1">{#N/A,#N/A,FALSE,"Assumptions";#N/A,#N/A,FALSE,"Proforma IS";#N/A,#N/A,FALSE,"Cash Flows RLP";#N/A,#N/A,FALSE,"IRR";#N/A,#N/A,FALSE,"New Depr Sch-150% DB";#N/A,#N/A,FALSE,"Comments"}</definedName>
    <definedName name="wrn.comps." hidden="1">{"comps",#N/A,FALSE,"Intl comps";"notes",#N/A,FALSE,"Intl comps"}</definedName>
    <definedName name="wrn.CON_DESCUENTO." hidden="1">{#N/A,"Carabeer",FALSE,"Dscto.";#N/A,"Disbracentro",FALSE,"Dscto.";#N/A,"Río Beer",FALSE,"Dscto.";#N/A,"Andes",FALSE,"Dscto."}</definedName>
    <definedName name="wrn.Consolidated._.Set." hidden="1">{"Consolidated IS w Ratios",#N/A,FALSE,"Consolidated";"Consolidated CF",#N/A,FALSE,"Consolidated";"Consolidated DCF",#N/A,FALSE,"Consolidated"}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TO._.ECON._.PRO._.FORMA." hidden="1">{"PRO FORMA RIEPILOGO",#N/A,TRUE,"Pro forma";"PRO FORMA DETTAGLIO",#N/A,TRUE,"Pro forma";#N/A,#N/A,TRUE,"Imposte puntuali"}</definedName>
    <definedName name="wrn.Conto._.economico." hidden="1">{"PRO FORMA RIEPILOGO",#N/A,FALSE,"Pro forma";"PRO FORMA DETTAGLIO",#N/A,FALSE,"Pro forma";"IMPOSTE",#N/A,FALSE,"Imposte puntuali"}</definedName>
    <definedName name="wrn.contribution." hidden="1">{#N/A,#N/A,FALSE,"Contribution Analysis"}</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3"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hidden="1">{"Covenants",#N/A,FALSE,"Covs";"quarterly covenants",#N/A,FALSE,"Covs";"quarterly projections",#N/A,FALSE,"Covs"}</definedName>
    <definedName name="wrn.Cover." hidden="1">{"coverall",#N/A,FALSE,"Definitions";"cover1",#N/A,FALSE,"Definitions";"cover2",#N/A,FALSE,"Definitions";"cover3",#N/A,FALSE,"Definitions";"cover4",#N/A,FALSE,"Definitions";"cover5",#N/A,FALSE,"Definitions";"blank",#N/A,FALSE,"Definitions"}</definedName>
    <definedName name="wrn.cowboy." hidden="1">{"assumptions",#N/A,FALSE,"Assumption Summary";"proforma97",#N/A,FALSE,"97 pro forma";"sensitivity97",#N/A,FALSE,"97 sensitivity ";"proforma98",#N/A,FALSE,"98 pro forma";"sensitivity98",#N/A,FALSE,"98 sensitivity"}</definedName>
    <definedName name="wrn.CSC." hidden="1">{"Output1",#N/A,FALSE,"Output";"Ratios1",#N/A,FALSE,"Ratios"}</definedName>
    <definedName name="wrn.csc2." hidden="1">{#N/A,#N/A,FALSE,"ORIX CSC"}</definedName>
    <definedName name="wrn.DACOM._.광전송장치._.투찰가._.검토." hidden="1">{#N/A,#N/A,FALSE,"DAOCM 2차 검토"}</definedName>
    <definedName name="wrn.database." hidden="1">{"subs",#N/A,FALSE,"database ";"proportional",#N/A,FALSE,"database "}</definedName>
    <definedName name="wrn.database.?" hidden="1">{"subs",#N/A,FALSE,"database ";"proportional",#N/A,FALSE,"database "}</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hidden="1">{"qchm_dcf",#N/A,FALSE,"QCHMDCF2";"qchm_terminal",#N/A,FALSE,"QCHMDCF2"}</definedName>
    <definedName name="wrn.Depreciation." hidden="1">{"GAAP Deprec",#N/A,TRUE,"Financials";"Tax Deprec",#N/A,TRUE,"Financials"}</definedName>
    <definedName name="wrn.Development." hidden="1">{#N/A,#N/A,FALSE,"Development";#N/A,#N/A,FALSE,"Summary";#N/A,#N/A,FALSE,"People Time";#N/A,#N/A,FALSE,"Summary of People";#N/A,#N/A,FALSE,"Planing"}</definedName>
    <definedName name="wrn.dil_anal." hidden="1">{"hiden",#N/A,FALSE,"14";"hidden",#N/A,FALSE,"16";"hidden",#N/A,FALSE,"18";"hidden",#N/A,FALSE,"20"}</definedName>
    <definedName name="wrn.Dış._.ticaret." hidden="1">{"Dış ticaret",#N/A,FALSE,"9511kar(TL)"}</definedName>
    <definedName name="wrn.Dış._.ticaret._.dolar." hidden="1">{"Dış ticaret dolar",#N/A,FALSE,"9511kar($)"}</definedName>
    <definedName name="wrn.document." hidden="1">{"comp",#N/A,FALSE,"SPEC";"footnotes",#N/A,FALSE,"SPEC"}</definedName>
    <definedName name="wrn.documentaero." hidden="1">{"comps2",#N/A,FALSE,"AERO";"footnotes",#N/A,FALSE,"AERO"}</definedName>
    <definedName name="wrn.documenthand." hidden="1">{"comps",#N/A,FALSE,"HANDPACK";"footnotes",#N/A,FALSE,"HANDPACK"}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hidden="1">{"Savings",#N/A,FALSE,"East Jeff OP Surgery 090897";"OPS",#N/A,FALSE,"East Jeff OP Surgery 090897"}</definedName>
    <definedName name="wrn.Employee._.Efficiency." hidden="1">{"Employee Efficiency",#N/A,FALSE,"Benchmarking"}</definedName>
    <definedName name="wrn.Enerji._.maden." hidden="1">{"Enerji maden",#N/A,FALSE,"9511kar(TL)"}</definedName>
    <definedName name="wrn.Enerji._.maden._.dolar." hidden="1">{"Enerji maden dolar",#N/A,FALSE,"9511kar($)"}</definedName>
    <definedName name="wrn.Ensemble_client." hidden="1">{"ratios",#N/A,FALSE,"Analyse";"multiples",#N/A,FALSE,"Analyse";"places",#N/A,FALSE,"Analyse";"résultats_édition client",#N/A,FALSE,"Résultats";"reg_edition client",#N/A,FALSE,"Regressions";"SYNTHESE",#N/A,FALSE,"Synthese"}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hidden="1">{#N/A,#N/A,FALSE,"ExitStratigy"}</definedName>
    <definedName name="wrn.Far._.East._.Set." hidden="1">{"IS FE with Ratios",#N/A,FALSE,"Far East";"PF CF Far East",#N/A,FALSE,"Far East";"DCF Far East Matrix",#N/A,FALSE,"Far East"}</definedName>
    <definedName name="wrn.FE._.Sensitivity." hidden="1">{"Far East Top",#N/A,FALSE,"FE Model";"Far East Mid",#N/A,FALSE,"FE Model";"Far East Base",#N/A,FALSE,"FE Model"}</definedName>
    <definedName name="wrn.Fergus._.and._.Nigel._.Variances." hidden="1">{"Total",#N/A,FALSE,"TOTAL";"5300",#N/A,FALSE,"5300";"5302",#N/A,FALSE,"5302";"5303",#N/A,FALSE,"5303";"5304",#N/A,FALSE,"5304";"5305",#N/A,FALSE,"5305";"5306",#N/A,FALSE,"5306";"Conformance",#N/A,FALSE,"CONFORM"}</definedName>
    <definedName name="wrn.Final._.Copy." hidden="1">{#N/A,#N/A,TRUE,"Assumptions";#N/A,#N/A,TRUE,"Financial  Statements";#N/A,#N/A,TRUE,"Unl. Free CF Valuation ";#N/A,#N/A,TRUE,"Funding Schedule";#N/A,#N/A,TRUE,"High Yield &amp; Equity Schedule"}</definedName>
    <definedName name="wrn.financial._.model." hidden="1">{#N/A,#N/A,FALSE,"Financials";#N/A,#N/A,FALSE,"B.S.";#N/A,#N/A,FALSE,"Costs";#N/A,#N/A,FALSE,"Fixed Assets";#N/A,#N/A,FALSE,"DCF";#N/A,#N/A,FALSE,"AVP"}</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hidden="1">{"Finansman",#N/A,FALSE,"9511kar(TL)"}</definedName>
    <definedName name="wrn.Finansman._.dolar." hidden="1">{"Finansman dolar",#N/A,FALSE,"9511kar($)"}</definedName>
    <definedName name="wrn.FINSTM." hidden="1">{#N/A,#N/A,FALSE,"P&amp;L";#N/A,#N/A,FALSE,"BS";#N/A,#N/A,FALSE,"HILITE";#N/A,#N/A,FALSE,"KEY"}</definedName>
    <definedName name="wrn.Flash." hidden="1">{#N/A,#N/A,FALSE,"JKFLASH2";#N/A,#N/A,FALSE,"Page 4";#N/A,#N/A,FALSE,"page 3"}</definedName>
    <definedName name="wrn.FNMA22PI." localSheetId="0" hidden="1">{#N/A,#N/A,FALSE,"fnma22pi";#N/A,#N/A,FALSE,"1888144"}</definedName>
    <definedName name="wrn.FNMA22PI." localSheetId="2" hidden="1">{#N/A,#N/A,FALSE,"fnma22pi";#N/A,#N/A,FALSE,"1888144"}</definedName>
    <definedName name="wrn.FNMA22PI." localSheetId="3"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hidden="1">{#N/A,#N/A,FALSE,"fnma22pi";#N/A,#N/A,FALSE,"1888144"}</definedName>
    <definedName name="wrn.fred." hidden="1">{"cover",#N/A,TRUE,"BaseCase";"pnl",#N/A,TRUE,"BaseCase";"pnldet",#N/A,TRUE,"BaseCase";"bil",#N/A,TRUE,"BaseCase";"tabfi",#N/A,TRUE,"BaseCase";"ratios",#N/A,TRUE,"BaseCase";"variab",#N/A,TRUE,"BaseCase";"inv",#N/A,TRUE,"BaseCase"}</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hidden="1">{#N/A,#N/A,TRUE,"Cover sheet";#N/A,#N/A,TRUE,"Summary";#N/A,#N/A,TRUE,"Key Assumptions";#N/A,#N/A,TRUE,"Profit &amp; Loss";#N/A,#N/A,TRUE,"Balance Sheet";#N/A,#N/A,TRUE,"Cashflow";#N/A,#N/A,TRUE,"IRR";#N/A,#N/A,TRUE,"Ratios";#N/A,#N/A,TRUE,"Debt analysis"}</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hidden="1">{#N/A,#N/A,TRUE,"Consolidated";#N/A,#N/A,TRUE,"New Home";#N/A,#N/A,TRUE,"Resale";#N/A,#N/A,TRUE,"Insurance";#N/A,#N/A,TRUE,"Services";#N/A,#N/A,TRUE,"Comparison";#N/A,#N/A,TRUE,"Intercompany Adjustments";#N/A,#N/A,TRUE,"FCF";#N/A,#N/A,TRUE,"DCF";#N/A,#N/A,TRUE,"DCF_Sensitivity"}</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hidden="1">{"Funding Summary",#N/A,FALSE,"P&amp;L Analysis"}</definedName>
    <definedName name="wrn.funds." hidden="1">{"gscp",#N/A,FALSE,"Funds";"asia",#N/A,FALSE,"Funds";"gscp",#N/A,FALSE,"Funds";"gscpII",#N/A,FALSE,"Funds"}</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CC." hidden="1">{#N/A,#N/A,FALSE,"IRR"}</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hidden="1">{#N/A,#N/A,FALSE,"Output";#N/A,#N/A,FALSE,"Cover Sheet";#N/A,#N/A,FALSE,"Current Mkt. Projections"}</definedName>
    <definedName name="wrn.HOLDCO." hidden="1">{"page1",#N/A,FALSE,"TEMPLATE";"page2",#N/A,FALSE,"TEMPLATE";"page3",#N/A,FALSE,"TEMPLATE";"page3a",#N/A,FALSE,"TEMPLATE";"page4",#N/A,FALSE,"TEMPLATE"}</definedName>
    <definedName name="wrn.imp." hidden="1">{"vue1",#N/A,FALSE,"synthese";"vue2",#N/A,FALSE,"synthese"}</definedName>
    <definedName name="wrn.IMPRESION." hidden="1">{#N/A,#N/A,FALSE,"Hoja1";#N/A,#N/A,FALSE,"Hoja2"}</definedName>
    <definedName name="wrn.Income._.Statement." hidden="1">{#N/A,#N/A,FALSE}</definedName>
    <definedName name="wrn.Input." hidden="1">{"données",#N/A,FALSE,"Input"}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hidden="1">{"Input1",#N/A,FALSE,"PF";"Input2",#N/A,FALSE,"PF";"Input3",#N/A,FALSE,"PF"}</definedName>
    <definedName name="wrn.Inputs.2" hidden="1">{"Input1",#N/A,FALSE,"PF";"Input2",#N/A,FALSE,"PF";"Input3",#N/A,FALSE,"PF"}</definedName>
    <definedName name="wrn.İnşaat." hidden="1">{"İnşaat",#N/A,FALSE,"9511kar(TL)"}</definedName>
    <definedName name="wrn.İnşaat._.dolar." hidden="1">{"İnşaatdolar",#N/A,FALSE,"9511kar($)"}</definedName>
    <definedName name="wrn.international." hidden="1">{"sweden",#N/A,FALSE,"Sweden";"germany",#N/A,FALSE,"Germany";"portugal",#N/A,FALSE,"Portugal";"belgium",#N/A,FALSE,"Belgium";"japan",#N/A,FALSE,"Japan ";"italy",#N/A,FALSE,"Italy";"spain",#N/A,FALSE,"Spain";"korea",#N/A,FALSE,"Korea"}</definedName>
    <definedName name="wrn.IPO._.Valuation." hidden="1">{"assumptions",#N/A,FALSE,"Scenario 1";"valuation",#N/A,FALSE,"Scenario 1"}</definedName>
    <definedName name="wrn.IRR." hidden="1">{"IRR",#N/A,FALSE,"Model"}</definedName>
    <definedName name="wrn.JAP._.CONS._.OTB." hidden="1">{"CON US6",#N/A,FALSE,"CONS";"JAPAN US3",#N/A,FALSE,"JAP";"OTB WITH ALT US6",#N/A,FALSE,"OTB";"OTB US5",#N/A,FALSE,"OTB"}</definedName>
    <definedName name="wrn.JG._.FE._.Dollar." hidden="1">{"JG FE Top",#N/A,FALSE,"JG FE $";"JG FE Bottom",#N/A,FALSE,"JG FE $"}</definedName>
    <definedName name="wrn.JG._.FE._.Yen." hidden="1">{"JG FE Top",#N/A,FALSE,"JG FE ¥";"JG FE Bottom",#N/A,FALSE,"JG FE ¥"}</definedName>
    <definedName name="wrn.June." hidden="1">{"det (May)",#N/A,FALSE,"June";"sum (MAY YTD)",#N/A,FALSE,"June YTD"}</definedName>
    <definedName name="wrn.Kenngb." hidden="1">{#N/A,#N/A,FALSE,"SKG_SC";#N/A,#N/A,FALSE,"SKG_KP";#N/A,#N/A,FALSE,"SCG_KC";#N/A,#N/A,FALSE,"SKG_PM";#N/A,#N/A,FALSE,"SKG_Asta";#N/A,#N/A,FALSE,"SKG_DE";#N/A,#N/A,FALSE,"SKG_FA";#N/A,#N/A,FALSE,"SKG_EM";#N/A,#N/A,FALSE,"SKG_AK";#N/A,#N/A,FALSE,"SKG_CER";#N/A,#N/A,FALSE,"SKG_BA";#N/A,#N/A,FALSE,"SKG_KO"}</definedName>
    <definedName name="wrn.Koç._.Top." hidden="1">{"Koç Top",#N/A,FALSE,"9511kar(TL)"}</definedName>
    <definedName name="wrn.KOÇ._.TOP._.2." hidden="1">{"KOÇ TOP 2",#N/A,FALSE,"9511kar(TL)"}</definedName>
    <definedName name="wrn.Koç._.Top._.dolar." hidden="1">{"Koç Top dolar",#N/A,FALSE,"9511kar($)"}</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gal." hidden="1">{"long",#N/A,FALSE,"ESC"}</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hidden="1">{"Line Efficiency",#N/A,FALSE,"Benchmarking"}</definedName>
    <definedName name="wrn.LoanInformation." hidden="1">{#N/A,#N/A,FALSE,"LoanAssumptions"}</definedName>
    <definedName name="wrn.Lyndas._.variances." hidden="1">{"5303",#N/A,FALSE,"5303";"5304",#N/A,FALSE,"5304";"5306",#N/A,FALSE,"5306"}</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hidden="1">{"Area1",#N/A,TRUE,"Obiettivo";"Area2",#N/A,TRUE,"Dati per Direzione"}</definedName>
    <definedName name="wrn.Mario." hidden="1">{"Area1",#N/A,TRUE,"Obiettivo";"Area2",#N/A,TRUE,"Dati per Direzione"}</definedName>
    <definedName name="wrn.Marks._.variances." hidden="1">{"5303",#N/A,FALSE,"5303"}</definedName>
    <definedName name="wrn.memo." hidden="1">{#N/A,#N/A,TRUE,"financial";#N/A,#N/A,TRUE,"plants"}</definedName>
    <definedName name="wrn.Memorial." hidden="1">{"Savings",#N/A,FALSE,"Memorial OP Surgery 090997";"OPS",#N/A,FALSE,"Memorial OP Surgery 090997"}</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onthly._.Report." hidden="1">{#N/A,#N/A,TRUE,"Sales Comparison";#N/A,#N/A,TRUE,"Cum. Summary FFR";#N/A,#N/A,TRUE,"Monthly Summary FFR";#N/A,#N/A,TRUE,"Cum. Summary TL";#N/A,#N/A,TRUE,"Monthly Summary TL"}</definedName>
    <definedName name="wrn.Monthly._.Variance._.Reports." hidden="1">{"Total Header",#N/A,FALSE,"Headers for Reports";"Variance Report Prints",#N/A,FALSE,"travel";"Variance Report Prints",#N/A,FALSE,"Cost Centre Summary"}</definedName>
    <definedName name="wrn.MonthlyRentRoll." hidden="1">{"MonthlyRentRoll",#N/A,FALSE,"RentRoll"}</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hidden="1">{"NA Top",#N/A,FALSE,"NA Model";"NA Bottom",#N/A,FALSE,"NA Model"}</definedName>
    <definedName name="wrn.NA_ULV._.Tand._.B." hidden="1">{"NA Top",#N/A,FALSE,"NA-ULV";"NA Bottom",#N/A,FALSE,"NA-ULV"}</definedName>
    <definedName name="wrn.newDEV." hidden="1">{"cover",#N/A,TRUE,"Cover";"pnl_NEWDEV",#N/A,TRUE,"NewCaseDEV";"bil_NEWDEV",#N/A,TRUE,"NewCaseDEV";"tabfi_NEWDEV",#N/A,TRUE,"NewCaseDEV";"ratios_NEWDEV",#N/A,TRUE,"NewCaseDEV";"variab_NEWDEV",#N/A,TRUE,"NewCaseDEV";"inv_NEWDEV",#N/A,TRUE,"NewCaseDEV"}</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3"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hidden="1">{"NA Is w Ratios",#N/A,FALSE,"North America";"PF CFlow NA",#N/A,FALSE,"North America";"NA DCF Matrix",#N/A,FALSE,"North America"}</definedName>
    <definedName name="wrn.NOTA._.INTEGRATIVA._.TITOLI." hidden="1">{#N/A,#N/A,FALSE,"2";#N/A,#N/A,FALSE,"2,1";#N/A,#N/A,FALSE,"Var annue tit.imm. ";#N/A,#N/A,FALSE,"2,3";#N/A,#N/A,FALSE,"Var annue titoli - prospetto"}</definedName>
    <definedName name="wrn.OP._.Case._.Rates." hidden="1">{"OP Case Rates",#N/A,FALSE,"OP Case Rates"}</definedName>
    <definedName name="wrn.OperatingAssumtions." hidden="1">{#N/A,#N/A,FALSE,"OperatingAssumptions"}</definedName>
    <definedName name="wrn.Otosan." hidden="1">{"Otosan",#N/A,FALSE,"9511kar(TL)"}</definedName>
    <definedName name="wrn.Otosandolar." hidden="1">{"Otosandolar",#N/A,FALSE,"9511kar($)"}</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hidden="1">{"Page1",#N/A,FALSE,"Model"}</definedName>
    <definedName name="wrn.Pendleton." hidden="1">{"Savings",#N/A,FALSE,"Pendleton OP Surgery 09097";"OPS",#N/A,FALSE,"Pendleton OP Surgery 09097"}</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hidden="1">{"p_l",#N/A,FALSE,"Summary Accounts"}</definedName>
    <definedName name="wrn.pr3sty." hidden="1">{#N/A,#N/A,FALSE,"intag";#N/A,#N/A,FALSE,"budg";#N/A,#N/A,FALSE,"samtl"}</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{#N/A,#N/A,TRUE,"Summary";"AnnualRentRoll",#N/A,TRUE,"RentRoll";#N/A,#N/A,TRUE,"ExitStratigy";#N/A,#N/A,TRUE,"OperatingAssumptions"}</definedName>
    <definedName name="wrn.PRESS._.RELEASE." hidden="1">{#N/A,#N/A,FALSE,"SUM";#N/A,#N/A,FALSE,"QLOSS"}</definedName>
    <definedName name="wrn.Price._.Multiples." hidden="1">{"Comp1",#N/A,FALSE,"Comps"}</definedName>
    <definedName name="wrn.PrimeCo." hidden="1">{"print 1",#N/A,FALSE,"PrimeCo PCS";"print 2",#N/A,FALSE,"PrimeCo PCS";"valuation",#N/A,FALSE,"PrimeCo PCS"}</definedName>
    <definedName name="wrn.print." hidden="1">{#N/A,#N/A,FALSE,"Japan 2003";#N/A,#N/A,FALSE,"Sheet2"}</definedName>
    <definedName name="wrn.print._.all." hidden="1">{"sum of the parts",#N/A,FALSE,"Sum-of-the-Parts";"LBO analysis",#N/A,FALSE,"LBO P&amp;L";"p&amp;L",#N/A,FALSE,"LBO P&amp;L";"cash flow",#N/A,FALSE,"CF";"cap struct",#N/A,FALSE,"LBO P&amp;L";"equity return",#N/A,FALSE,"return"}</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hidden="1">{"Print Top",#N/A,FALSE,"Europe Model";"Print Bottom",#N/A,FALSE,"Europe Model"}</definedName>
    <definedName name="wrn.Print._.FE._.T._.and._.B." hidden="1">{"Far East Top",#N/A,FALSE,"FE Model";"Far East Bottom",#N/A,FALSE,"FE Model"}</definedName>
    <definedName name="wrn.PRINT._.FULL."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pages." hidden="1">{#N/A,#N/A,FALSE,"Spain MKT";#N/A,#N/A,FALSE,"Assumptions";#N/A,#N/A,FALSE,"Adve";#N/A,#N/A,FALSE,"E-Commerce";#N/A,#N/A,FALSE,"Opex";#N/A,#N/A,FALSE,"P&amp;L";#N/A,#N/A,FALSE,"FCF &amp; DCF"}</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hidden="1">{"inputs raw data",#N/A,TRUE,"INPUT"}</definedName>
    <definedName name="wrn.Print._.Report." hidden="1">{"Comp1",#N/A,FALSE,"Comps";"Comp2",#N/A,FALSE,"Comps";"Comp3",#N/A,FALSE,"Comps";"Comp5",#N/A,FALSE,"Comps";"Comp4",#N/A,FALSE,"Comps"}</definedName>
    <definedName name="wrn.print._.standalone." hidden="1">{"standalone1",#N/A,FALSE,"DCFBase";"standalone2",#N/A,FALSE,"DCFBase"}</definedName>
    <definedName name="wrn.print._.summary._.sheets." hidden="1">{"summary1",#N/A,TRUE,"Comps";"summary2",#N/A,TRUE,"Comps";"summary3",#N/A,TRUE,"Comps"}</definedName>
    <definedName name="wrn.Print._.Titlepage._.Template." hidden="1">{#N/A,#N/A,FALSE,"Titlepage Template";#N/A,#N/A,FALSE,"Sheet2"}</definedName>
    <definedName name="wrn.print.2" hidden="1">{"page1",#N/A,FALSE,"PF";"page2",#N/A,FALSE,"PF";"page3",#N/A,FALSE,"PF";"page4",#N/A,FALSE,"Bal_Sht"}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hidden="1">{"page1",#N/A,FALSE,"PF";"page2",#N/A,FALSE,"PF";"page3",#N/A,FALSE,"PF";"page4",#N/A,FALSE,"Bal_Sht"}</definedName>
    <definedName name="wrn.PRINT12" hidden="1">{"page1",#N/A,FALSE,"PF";"page2",#N/A,FALSE,"PF";"page3",#N/A,FALSE,"PF";"page4",#N/A,FALSE,"Bal_Sht"}</definedName>
    <definedName name="wrn.Profit._.and._.Loss." hidden="1">{"Profit and Loss",#N/A,FALSE,"Model"}</definedName>
    <definedName name="wrn.PropertyInformation." hidden="1">{#N/A,#N/A,FALSE,"PropertyInfo"}</definedName>
    <definedName name="wrn.PROSPETTI._.PROFORMA." hidden="1">{#N/A,#N/A,FALSE,"A3";#N/A,#N/A,FALSE,"AT2";#N/A,#N/A,FALSE,"PA2";#N/A,#N/A,FALSE,"GI2";#N/A,#N/A,FALSE,"EC2"}</definedName>
    <definedName name="wrn.public." hidden="1">{"Foreign_currency",#N/A,FALSE,"Public Market Values_Currency";"Public_values",#N/A,FALSE,"Public Market Values_Currency"}</definedName>
    <definedName name="wrn.Pulp." hidden="1">{"Pulp Production",#N/A,FALSE,"Pulp";"Pulp Earnings",#N/A,FALSE,"Pulp"}</definedName>
    <definedName name="wrn.PVFP._.Output." hidden="1">{#N/A,#N/A,TRUE,"Summary";#N/A,#N/A,TRUE,"IFA";#N/A,#N/A,TRUE,"AAN";#N/A,#N/A,TRUE,"ASLD";#N/A,#N/A,TRUE,"Key";#N/A,#N/A,TRUE,"Other"}</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hidden="1">{"ratios",#N/A,FALSE,"Summary Accounts"}</definedName>
    <definedName name="wrn.Régression_client." hidden="1">{"reg_edition client",#N/A,FALSE,"Regressions"}</definedName>
    <definedName name="wrn.Régression_travail." hidden="1">{"reg_travail",#N/A,FALSE,"Regressions"}</definedName>
    <definedName name="wrn.régressions._.corrigées." hidden="1">{"regression corrigées",#N/A,FALSE,"Regressions"}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hidden="1">{"lbo-1",#N/A,FALSE,"TEMPLATE";"lbo-2",#N/A,FALSE,"TEMPLATE";"lbo-3",#N/A,FALSE,"TEMPLATE";"lbo-4",#N/A,FALSE,"TEMPLATE";"lbo-5",#N/A,FALSE,"TEMPLATE"}</definedName>
    <definedName name="wrn.Report1." hidden="1">{#N/A,#N/A,FALSE,"Operations";#N/A,#N/A,FALSE,"Financials"}</definedName>
    <definedName name="wrn.Reporte._.1." hidden="1">{#N/A,#N/A,FALSE,"PRECIO FULL";#N/A,#N/A,FALSE,"LARA";#N/A,#N/A,FALSE,"CARACAS";#N/A,#N/A,FALSE,"DISBRACENTRO";#N/A,#N/A,FALSE,"ANDES";#N/A,#N/A,FALSE,"MAR CARIBE";#N/A,#N/A,FALSE,"RIO BEER";#N/A,#N/A,FALSE,"DISBRAH"}</definedName>
    <definedName name="wrn.Résultats_édition._.client." hidden="1">{"résultats_édition client",#N/A,FALSE,"Résultats"}</definedName>
    <definedName name="wrn.Résultats_travail." hidden="1">{"res_travail",#N/A,FALSE,"Résultats"}</definedName>
    <definedName name="wrn.RESUMEN." hidden="1">{"RESUMEN",#N/A,FALSE,"RESUMEN";"RESUMEN_MARG",#N/A,FALSE,"RESUMEN"}</definedName>
    <definedName name="wrn.RGD_BG_FC." hidden="1">{#N/A,#N/A,FALSE,"RGD$";#N/A,#N/A,FALSE,"BG$";#N/A,#N/A,FALSE,"FC$"}</definedName>
    <definedName name="wrn.Roberts._.variances." hidden="1">{"5304",#N/A,FALSE,"5304"}</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hidden="1">{#N/A,#N/A,FALSE,"H1H2";"Sales by division",#N/A,FALSE,"H1H2";"LFL assumptions",#N/A,FALSE,"H1H2"}</definedName>
    <definedName name="wrn.SAMANDR." hidden="1">{#N/A,#N/A,FALSE,"94-95";"SAMANDR",#N/A,FALSE,"94-95"}</definedName>
    <definedName name="wrn.sens." hidden="1">{"sens1\",#N/A,FALSE,"PF";"sens2",#N/A,FALSE,"PF";"sens3",#N/A,FALSE,"PF";"sens4",#N/A,FALSE,"PF"}</definedName>
    <definedName name="wrn.sensitivity." hidden="1">{"sensitivity",#N/A,FALSE,"Sensitivity"}</definedName>
    <definedName name="wrn.sensitivity._.analyses." hidden="1">{"general",#N/A,FALSE,"Assumptions"}</definedName>
    <definedName name="wrn.Short._.Print." hidden="1">{#N/A,#N/A,FALSE,"Summary";#N/A,#N/A,FALSE,"Returns";#N/A,#N/A,FALSE,"Opening BS";#N/A,#N/A,FALSE,"EMO";#N/A,#N/A,FALSE,"BS";#N/A,#N/A,FALSE,"IS";#N/A,#N/A,FALSE,"Metalworking IS";#N/A,#N/A,FALSE,"CFS";#N/A,#N/A,FALSE,"Ratios"}</definedName>
    <definedName name="wrn.SKSCS1." hidden="1">{#N/A,#N/A,FALSE,"Antony Financials";#N/A,#N/A,FALSE,"Cowboy Financials";#N/A,#N/A,FALSE,"Combined";#N/A,#N/A,FALSE,"Valuematrix";#N/A,#N/A,FALSE,"DCFAntony";#N/A,#N/A,FALSE,"DCFCowboy";#N/A,#N/A,FALSE,"DCFCombined"}</definedName>
    <definedName name="wrn.Slidell." hidden="1">{"Savings",#N/A,FALSE,"Slidell OP Surgery 090997";"OPS",#N/A,FALSE,"Slidell OP Surgery 090997"}</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hidden="1">{#N/A,#N/A,FALSE,"CBE";#N/A,#N/A,FALSE,"SWK"}</definedName>
    <definedName name="wrn.summary" hidden="1">{#N/A,#N/A,FALSE,"Summary";#N/A,#N/A,FALSE,"CF";#N/A,#N/A,FALSE,"P&amp;L";"summary",#N/A,FALSE,"Returns";#N/A,#N/A,FALSE,"BS";"summary",#N/A,FALSE,"Analysis";#N/A,#N/A,FALSE,"Assumptions"}</definedName>
    <definedName name="wrn.Summary." hidden="1">{#N/A,#N/A,FALSE,"Summary"}</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3"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hidden="1">{#N/A,#N/A,FALSE,"P.L.Full";#N/A,#N/A,FALSE,"P.L.Desc."}</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es." hidden="1">{"Def Tax Long",#N/A,TRUE,"Financials";"Def Tax Short",#N/A,TRUE,"Financials";"Cons Tax Sched",#N/A,TRUE,"Financials"}</definedName>
    <definedName name="wrn.Tekstil." hidden="1">{"Tekstil",#N/A,FALSE,"9511kar(TL)"}</definedName>
    <definedName name="wrn.Tekstil._.dolar." hidden="1">{"Tekstil dolar",#N/A,FALSE,"9511kar($)"}</definedName>
    <definedName name="wrn.test." hidden="1">{"test2",#N/A,TRUE,"Prices"}</definedName>
    <definedName name="wrn.Thomas_Case." hidden="1">{#N/A,#N/A,TRUE,"Thomas Case";#N/A,#N/A,TRUE,"Corporate Overhead";#N/A,#N/A,TRUE,"Arizona";#N/A,#N/A,TRUE,"Cal";#N/A,#N/A,TRUE,"Illinois";#N/A,#N/A,TRUE,"Indiana";#N/A,#N/A,TRUE,"Ohio";#N/A,#N/A,TRUE,"Pennsylvania";#N/A,#N/A,TRUE,"Growth";#N/A,#N/A,TRUE,"Anthem";#N/A,#N/A,TRUE,"Pipeline"}</definedName>
    <definedName name="wrn.Ticaret._.ve._.turizm." hidden="1">{"Ticaret ve turizm",#N/A,FALSE,"9511kar(TL)"}</definedName>
    <definedName name="wrn.Ticaret._.ve._.turizm._.dolar." hidden="1">{"Ticaret ve turizm dolar",#N/A,FALSE,"9511kar($)"}</definedName>
    <definedName name="wrn.Todas._.las._.tablas." hidden="1">{#N/A,#N/A,FALSE,"Resumen";#N/A,#N/A,FALSE,"Full";#N/A,"Carabeer",FALSE,"Dscto.";#N/A,"Disbracentro",FALSE,"Dscto.";#N/A,"Andes",FALSE,"Dscto.";#N/A,"Mar Caribe",FALSE,"Dscto.";#N/A,"Río Beer",FALSE,"Dscto.";#N/A,#N/A,FALSE,"P.L.Full";#N/A,#N/A,FALSE,"P.L.Desc."}</definedName>
    <definedName name="wrn.Tofaş." hidden="1">{"Tofaş",#N/A,FALSE,"9511kar(TL)"}</definedName>
    <definedName name="wrn.Tofaşdolar." hidden="1">{"Tofaşdolar",#N/A,FALSE,"9511kar($)"}</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hidden="1">{"comp1",#N/A,FALSE,"COMPS";"footnotes",#N/A,FALSE,"COMPS"}</definedName>
    <definedName name="wrn.Touro." hidden="1">{"Savings",#N/A,FALSE,"Touro OP Surgery 090997";"OPS",#N/A,FALSE,"Touro OP Surgery 090997"}</definedName>
    <definedName name="wrn.trans._.sum." hidden="1">{"trans assumptions",#N/A,FALSE,"Merger";"trans accretion",#N/A,FALSE,"Merger"}</definedName>
    <definedName name="wrn.Tüketim." hidden="1">{"Tüketim",#N/A,FALSE,"9511kar(TL)"}</definedName>
    <definedName name="wrn.Tüketim._.dolar." hidden="1">{"Tüketim dolar",#N/A,FALSE,"9511kar($)"}</definedName>
    <definedName name="wrn.Tweety." hidden="1">{#N/A,#N/A,FALSE,"A&amp;E";#N/A,#N/A,FALSE,"HighTop";#N/A,#N/A,FALSE,"JG";#N/A,#N/A,FALSE,"RI";#N/A,#N/A,FALSE,"woHT";#N/A,#N/A,FALSE,"woHT&amp;JG"}</definedName>
    <definedName name="wrn.UHCO._.Statutory._.Results." hidden="1">{#N/A,#N/A,FALSE,"UHCO Statutory Info ----&gt;";#N/A,#N/A,FALSE,"UHCO Source_Use";#N/A,#N/A,FALSE,"UHCO_Debt Paydown";#N/A,#N/A,FALSE,"Union Bankers";#N/A,#N/A,FALSE,"Penn Life";#N/A,#N/A,FALSE,"Constitution"}</definedName>
    <definedName name="wrn.UK._.Retail._.PLs." hidden="1">{"Clothing PL",#N/A,FALSE,"H1H2";"Food PL",#N/A,FALSE,"H1H2";"Group PL",#N/A,FALSE,"H1H2";"Home Furnishings PL",#N/A,FALSE,"H1H2"}</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TL._.Position." hidden="1">{"UTL effect",#N/A,FALSE,"Sensitivity"}</definedName>
    <definedName name="wrn.values" hidden="1">{"gs_bsif",#N/A,FALSE,"Values";"gs_rdcp",#N/A,FALSE,"Values";"SSF",#N/A,FALSE,"Values";"total",#N/A,FALSE,"Values"}</definedName>
    <definedName name="wrn.values." hidden="1">{"gs_bsif",#N/A,FALSE,"Values";"gs_rdcp",#N/A,FALSE,"Values";"SSF",#N/A,FALSE,"Values";"total",#N/A,FALSE,"Values"}</definedName>
    <definedName name="wrn.Yan._.sanayi." hidden="1">{"Yan sanayi",#N/A,FALSE,"9511kar(TL)"}</definedName>
    <definedName name="wrn.Yansanayidolar." hidden="1">{"Yansanayidolar",#N/A,FALSE,"9511kar($)"}</definedName>
    <definedName name="wrn.Детальный._.отчет." hidden="1">{#N/A,#N/A,FALSE,"Sheet1"}</definedName>
    <definedName name="wrn1.aug" hidden="1">{"det (May)",#N/A,FALSE,"June";"sum (MAY YTD)",#N/A,FALSE,"June YTD"}</definedName>
    <definedName name="wrn1.augtyd" hidden="1">{"det (May)",#N/A,FALSE,"June";"sum (MAY YTD)",#N/A,FALSE,"June YTD"}</definedName>
    <definedName name="wrn1.augyt" hidden="1">{"det (May)",#N/A,FALSE,"June";"sum (MAY YTD)",#N/A,FALSE,"June YTD"}</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hidden="1">{"det (May)",#N/A,FALSE,"June";"sum (MAY YTD)",#N/A,FALSE,"June YTD"}</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hidden="1">{"consolidated",#N/A,FALSE,"Sheet1";"cms",#N/A,FALSE,"Sheet1";"fse",#N/A,FALSE,"Sheet1"}</definedName>
    <definedName name="wrn2.Handout" hidden="1">{#N/A,#N/A,FALSE,"Output";#N/A,#N/A,FALSE,"Cover Sheet";#N/A,#N/A,FALSE,"Current Mkt. Projections"}</definedName>
    <definedName name="wrn2.june" hidden="1">{"det (May)",#N/A,FALSE,"June";"sum (MAY YTD)",#N/A,FALSE,"June YTD"}</definedName>
    <definedName name="wrnfy97" hidden="1">{#N/A,#N/A,FALSE,"FY97";#N/A,#N/A,FALSE,"FY98";#N/A,#N/A,FALSE,"FY99";#N/A,#N/A,FALSE,"FY00";#N/A,#N/A,FALSE,"FY01"}</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hidden="1">{#N/A,#N/A,FALSE,"FY97";#N/A,#N/A,FALSE,"FY98";#N/A,#N/A,FALSE,"FY99";#N/A,#N/A,FALSE,"FY00";#N/A,#N/A,FALSE,"FY01"}</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{"subs",#N/A,FALSE,"database ";"proportional",#N/A,FALSE,"database "}</definedName>
    <definedName name="www" hidden="1">{#N/A,#N/A,FALSE,"ORIX CSC"}</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hidden="1">{#N/A,#N/A,FALSE,"A&amp;E";#N/A,#N/A,FALSE,"HighTop";#N/A,#N/A,FALSE,"JG";#N/A,#N/A,FALSE,"RI";#N/A,#N/A,FALSE,"woHT";#N/A,#N/A,FALSE,"woHT&amp;JG"}</definedName>
    <definedName name="xbcbekdhehz" hidden="1">#REF!</definedName>
    <definedName name="xrm" hidden="1">{"vue1",#N/A,FALSE,"synthese";"vue2",#N/A,FALSE,"synthese"}</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hidden="1">{"det (May)",#N/A,FALSE,"June";"sum (MAY YTD)",#N/A,FALSE,"June YTD"}</definedName>
    <definedName name="xxxxx" hidden="1">{"10yp capex",#N/A,FALSE,"Celtel alternative 6"}</definedName>
    <definedName name="xxxxxx" hidden="1">{"10yp graphs",#N/A,FALSE,"Market Data"}</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hidden="1">{#N/A,#N/A,FALSE,"Aging Summary";#N/A,#N/A,FALSE,"Ratio Analysis";#N/A,#N/A,FALSE,"Test 120 Day Accts";#N/A,#N/A,FALSE,"Tickmarks"}</definedName>
    <definedName name="yrey" hidden="1">{"up stand alones",#N/A,FALSE,"Acquiror"}</definedName>
    <definedName name="yrtrt"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2" hidden="1">#REF!</definedName>
    <definedName name="yukyu" localSheetId="3" hidden="1">#REF!</definedName>
    <definedName name="yukyu" localSheetId="12" hidden="1">#REF!</definedName>
    <definedName name="yukyu" localSheetId="13" hidden="1">#REF!</definedName>
    <definedName name="yukyu" localSheetId="14" hidden="1">#REF!</definedName>
    <definedName name="yukyu" localSheetId="16" hidden="1">#REF!</definedName>
    <definedName name="yukyu" hidden="1">#REF!</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hidden="1">{"ratios",#N/A,FALSE,"Summary Accounts"}</definedName>
    <definedName name="yy" hidden="1">{"Eur Base Top",#N/A,FALSE,"Europe Base";"Eur Base Bottom",#N/A,FALSE,"Europe Base"}</definedName>
    <definedName name="YYY" hidden="1">{"mgmt forecast",#N/A,FALSE,"Mgmt Forecast";"dcf table",#N/A,FALSE,"Mgmt Forecast";"sensitivity",#N/A,FALSE,"Mgmt Forecast";"table inputs",#N/A,FALSE,"Mgmt Forecast";"calculations",#N/A,FALSE,"Mgmt Forecast"}</definedName>
    <definedName name="yyyyyy" hidden="1">{"p_l",#N/A,FALSE,"Summary Accounts"}</definedName>
    <definedName name="zeljka" hidden="1">{"det (May)",#N/A,FALSE,"June";"sum (MAY YTD)",#N/A,FALSE,"June YTD"}</definedName>
    <definedName name="zeljka1" hidden="1">{"det (May)",#N/A,FALSE,"June";"sum (MAY YTD)",#N/A,FALSE,"June YTD"}</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hidden="1">{"det (May)",#N/A,FALSE,"June";"sum (MAY YTD)",#N/A,FALSE,"June YTD"}</definedName>
    <definedName name="zez" localSheetId="0" hidden="1">#REF!</definedName>
    <definedName name="zez" localSheetId="2" hidden="1">#REF!</definedName>
    <definedName name="zez" localSheetId="3" hidden="1">#REF!</definedName>
    <definedName name="zez" localSheetId="12" hidden="1">#REF!</definedName>
    <definedName name="zez" localSheetId="13" hidden="1">#REF!</definedName>
    <definedName name="zez" localSheetId="14" hidden="1">#REF!</definedName>
    <definedName name="zez" localSheetId="16" hidden="1">#REF!</definedName>
    <definedName name="zez" hidden="1">#REF!</definedName>
    <definedName name="zldjfldjkasjfkljal" hidden="1">{#N/A,#N/A,FALSE,"DAOCM 2차 검토"}</definedName>
    <definedName name="zvxcxv" hidden="1">{"IS FE with Ratios",#N/A,FALSE,"Far East";"PF CF Far East",#N/A,FALSE,"Far East";"DCF Far East Matrix",#N/A,FALSE,"Far East"}</definedName>
    <definedName name="zxcxzc" hidden="1">{"det (May)",#N/A,FALSE,"June";"sum (MAY YTD)",#N/A,FALSE,"June YTD"}</definedName>
    <definedName name="zxczxc" hidden="1">{"det (May)",#N/A,FALSE,"June";"sum (MAY YTD)",#N/A,FALSE,"June YTD"}</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hidden="1">{"AR",#N/A,FALSE,"ASMGTSUM";"INV",#N/A,FALSE,"ASMGTSUM";"HCCOMP",#N/A,FALSE,"ASMGTSUM";"cap.depr",#N/A,FALSE,"ASMGTSUM"}</definedName>
    <definedName name="관리" hidden="1">{#N/A,#N/A,FALSE,"DAOCM 2차 검토"}</definedName>
    <definedName name="권혁성" hidden="1">{#N/A,#N/A,FALSE,"DAOCM 2차 검토"}</definedName>
    <definedName name="나라" hidden="1">{#N/A,#N/A,FALSE,"DAOCM 2차 검토"}</definedName>
    <definedName name="대여" hidden="1">{#N/A,#N/A,FALSE,"DAOCM 2차 검토"}</definedName>
    <definedName name="매출" hidden="1">{#N/A,#N/A,FALSE,"DAOCM 2차 검토"}</definedName>
    <definedName name="본사" hidden="1">{#N/A,#N/A,FALSE,"DAOCM 2차 검토"}</definedName>
    <definedName name="수수료" hidden="1">{#N/A,#N/A,FALSE,"DAOCM 2차 검토"}</definedName>
    <definedName name="수입" hidden="1">{#N/A,#N/A,FALSE,"DAOCM 2차 검토"}</definedName>
    <definedName name="수출3" hidden="1">{#N/A,#N/A,FALSE,"DAOCM 2차 검토"}</definedName>
    <definedName name="ㅇㅇ" hidden="1">{#N/A,#N/A,FALSE,"DAOCM 2차 검토"}</definedName>
    <definedName name="원가" hidden="1">{#N/A,#N/A,FALSE,"DAOCM 2차 검토"}</definedName>
    <definedName name="이통" hidden="1">{#N/A,#N/A,FALSE,"DAOCM 2차 검토"}</definedName>
    <definedName name="전송영업1" hidden="1">{#N/A,#N/A,FALSE,"DAOCM 2차 검토"}</definedName>
    <definedName name="전송영업2" hidden="1">{#N/A,#N/A,FALSE,"DAOCM 2차 검토"}</definedName>
    <definedName name="정주" hidden="1">{#N/A,#N/A,FALSE,"DAOCM 2차 검토"}</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23195" l="1"/>
  <c r="A2" i="23195"/>
  <c r="E2" i="23195"/>
  <c r="H2" i="23195"/>
  <c r="I2" i="23195"/>
  <c r="J2" i="23195"/>
  <c r="L2" i="23195"/>
  <c r="K18" i="23178"/>
  <c r="S22" i="23204" l="1"/>
  <c r="S21" i="23204"/>
  <c r="S20" i="23204"/>
  <c r="F14" i="23175" l="1"/>
  <c r="L15" i="23195"/>
  <c r="L17" i="23208" s="1"/>
  <c r="E16" i="23208"/>
  <c r="F16" i="23208" s="1"/>
  <c r="G16" i="23208"/>
  <c r="M16" i="23208"/>
  <c r="P16" i="23208"/>
  <c r="Q16" i="23208"/>
  <c r="R16" i="23208"/>
  <c r="S16" i="23208"/>
  <c r="T16" i="23208"/>
  <c r="U16" i="23208"/>
  <c r="V16" i="23208"/>
  <c r="Y16" i="23208"/>
  <c r="G17" i="23208"/>
  <c r="M17" i="23208"/>
  <c r="P17" i="23208"/>
  <c r="Q17" i="23208"/>
  <c r="R17" i="23208"/>
  <c r="S17" i="23208"/>
  <c r="T17" i="23208"/>
  <c r="U17" i="23208"/>
  <c r="V17" i="23208"/>
  <c r="Y17" i="23208"/>
  <c r="M17" i="23204"/>
  <c r="F24" i="23211" s="1"/>
  <c r="L17" i="23204"/>
  <c r="I119" i="23210"/>
  <c r="I118" i="23210"/>
  <c r="I195" i="23210"/>
  <c r="I193" i="23210"/>
  <c r="I199" i="23210" s="1"/>
  <c r="J79" i="23210"/>
  <c r="K79" i="23210"/>
  <c r="L79" i="23210"/>
  <c r="M79" i="23210"/>
  <c r="N79" i="23210"/>
  <c r="O79" i="23210"/>
  <c r="P79" i="23210"/>
  <c r="Q79" i="23210"/>
  <c r="R79" i="23210"/>
  <c r="I79" i="23210"/>
  <c r="L75" i="23210"/>
  <c r="L72" i="23210"/>
  <c r="L73" i="23210" s="1"/>
  <c r="K72" i="23210"/>
  <c r="K73" i="23210" s="1"/>
  <c r="J72" i="23210"/>
  <c r="J73" i="23210" s="1"/>
  <c r="I72" i="23210"/>
  <c r="I73" i="23210" s="1"/>
  <c r="AC50" i="23209"/>
  <c r="AD50" i="23209"/>
  <c r="AE50" i="23209"/>
  <c r="AF50" i="23209"/>
  <c r="AG50" i="23209"/>
  <c r="AH50" i="23209"/>
  <c r="AI50" i="23209"/>
  <c r="AJ50" i="23209"/>
  <c r="AK50" i="23209"/>
  <c r="AL50" i="23209"/>
  <c r="W50" i="23209"/>
  <c r="X50" i="23209"/>
  <c r="Y50" i="23209"/>
  <c r="Z50" i="23209"/>
  <c r="AA50" i="23209"/>
  <c r="AB50" i="23209"/>
  <c r="N50" i="23209"/>
  <c r="O50" i="23209"/>
  <c r="P50" i="23209"/>
  <c r="Q50" i="23209"/>
  <c r="R50" i="23209"/>
  <c r="S50" i="23209"/>
  <c r="T50" i="23209"/>
  <c r="U50" i="23209"/>
  <c r="V50" i="23209"/>
  <c r="J50" i="23209"/>
  <c r="K50" i="23209"/>
  <c r="L50" i="23209"/>
  <c r="M50" i="23209"/>
  <c r="I50" i="23209"/>
  <c r="I5" i="23209"/>
  <c r="J40" i="23210"/>
  <c r="J41" i="23210" s="1"/>
  <c r="I40" i="23210"/>
  <c r="I41" i="23210" s="1"/>
  <c r="J63" i="23210"/>
  <c r="I63" i="23210"/>
  <c r="J35" i="23210"/>
  <c r="I35" i="23210"/>
  <c r="J50" i="23210"/>
  <c r="I50" i="23210"/>
  <c r="J49" i="23210"/>
  <c r="I49" i="23210"/>
  <c r="J32" i="23210"/>
  <c r="I32" i="23210"/>
  <c r="J30" i="23210"/>
  <c r="J31" i="23210" s="1"/>
  <c r="I30" i="23210"/>
  <c r="I31" i="23210" s="1"/>
  <c r="I28" i="23210"/>
  <c r="J28" i="23210" s="1"/>
  <c r="I3" i="23210"/>
  <c r="I117" i="23210" s="1"/>
  <c r="N62" i="23209" a="1"/>
  <c r="Q62" i="23209" s="1"/>
  <c r="I62" i="23209" a="1"/>
  <c r="I62" i="23209" s="1"/>
  <c r="J61" i="23209"/>
  <c r="K61" i="23209"/>
  <c r="L61" i="23209"/>
  <c r="M61" i="23209"/>
  <c r="N61" i="23209"/>
  <c r="O61" i="23209"/>
  <c r="P61" i="23209"/>
  <c r="Q61" i="23209"/>
  <c r="R61" i="23209"/>
  <c r="S61" i="23209"/>
  <c r="T61" i="23209"/>
  <c r="U61" i="23209"/>
  <c r="V61" i="23209"/>
  <c r="W61" i="23209"/>
  <c r="X61" i="23209"/>
  <c r="Y61" i="23209"/>
  <c r="Z61" i="23209"/>
  <c r="I61" i="23209"/>
  <c r="I3" i="23209"/>
  <c r="Z48" i="23209" s="1"/>
  <c r="H15" i="23195"/>
  <c r="U15" i="23195"/>
  <c r="E17" i="23208" s="1"/>
  <c r="Z17" i="23208" s="1"/>
  <c r="L14" i="23195"/>
  <c r="L16" i="23208" s="1"/>
  <c r="H16" i="23208" s="1"/>
  <c r="O16" i="23208" s="1"/>
  <c r="H14" i="23195"/>
  <c r="P7" i="23208"/>
  <c r="P13" i="23208"/>
  <c r="P15" i="23208"/>
  <c r="P10" i="23208"/>
  <c r="P6" i="23208"/>
  <c r="P5" i="23208"/>
  <c r="E14" i="23208"/>
  <c r="Z14" i="23208" s="1"/>
  <c r="G14" i="23208"/>
  <c r="M14" i="23208"/>
  <c r="P14" i="23208"/>
  <c r="Q14" i="23208"/>
  <c r="R14" i="23208"/>
  <c r="S14" i="23208"/>
  <c r="T14" i="23208"/>
  <c r="U14" i="23208"/>
  <c r="V14" i="23208"/>
  <c r="Y14" i="23208"/>
  <c r="E15" i="23208"/>
  <c r="Z15" i="23208" s="1"/>
  <c r="G15" i="23208"/>
  <c r="M15" i="23208"/>
  <c r="Q15" i="23208"/>
  <c r="R15" i="23208"/>
  <c r="S15" i="23208"/>
  <c r="T15" i="23208"/>
  <c r="U15" i="23208"/>
  <c r="V15" i="23208"/>
  <c r="Y15" i="23208"/>
  <c r="E5" i="23208"/>
  <c r="F5" i="23208" s="1"/>
  <c r="G5" i="23208"/>
  <c r="M5" i="23208"/>
  <c r="Q5" i="23208"/>
  <c r="R5" i="23208"/>
  <c r="S5" i="23208"/>
  <c r="T5" i="23208"/>
  <c r="U5" i="23208"/>
  <c r="V5" i="23208"/>
  <c r="Y5" i="23208"/>
  <c r="E6" i="23208"/>
  <c r="Z6" i="23208" s="1"/>
  <c r="G6" i="23208"/>
  <c r="M6" i="23208"/>
  <c r="Q6" i="23208"/>
  <c r="R6" i="23208"/>
  <c r="S6" i="23208"/>
  <c r="T6" i="23208"/>
  <c r="U6" i="23208"/>
  <c r="V6" i="23208"/>
  <c r="Y6" i="23208"/>
  <c r="E7" i="23208"/>
  <c r="F7" i="23208" s="1"/>
  <c r="G7" i="23208"/>
  <c r="M7" i="23208"/>
  <c r="Q7" i="23208"/>
  <c r="R7" i="23208"/>
  <c r="S7" i="23208"/>
  <c r="T7" i="23208"/>
  <c r="U7" i="23208"/>
  <c r="V7" i="23208"/>
  <c r="Y7" i="23208"/>
  <c r="P8" i="23208"/>
  <c r="E8" i="23208"/>
  <c r="Z8" i="23208" s="1"/>
  <c r="G8" i="23208"/>
  <c r="M8" i="23208"/>
  <c r="Q8" i="23208"/>
  <c r="R8" i="23208"/>
  <c r="S8" i="23208"/>
  <c r="T8" i="23208"/>
  <c r="U8" i="23208"/>
  <c r="V8" i="23208"/>
  <c r="Y8" i="23208"/>
  <c r="P9" i="23208"/>
  <c r="E9" i="23208"/>
  <c r="Z9" i="23208" s="1"/>
  <c r="G9" i="23208"/>
  <c r="M9" i="23208"/>
  <c r="Q9" i="23208"/>
  <c r="R9" i="23208"/>
  <c r="S9" i="23208"/>
  <c r="T9" i="23208"/>
  <c r="U9" i="23208"/>
  <c r="V9" i="23208"/>
  <c r="Y9" i="23208"/>
  <c r="E10" i="23208"/>
  <c r="F10" i="23208" s="1"/>
  <c r="G10" i="23208"/>
  <c r="M10" i="23208"/>
  <c r="Q10" i="23208"/>
  <c r="R10" i="23208"/>
  <c r="S10" i="23208"/>
  <c r="T10" i="23208"/>
  <c r="U10" i="23208"/>
  <c r="V10" i="23208"/>
  <c r="Y10" i="23208"/>
  <c r="P11" i="23208"/>
  <c r="E11" i="23208"/>
  <c r="F11" i="23208" s="1"/>
  <c r="G11" i="23208"/>
  <c r="M11" i="23208"/>
  <c r="Q11" i="23208"/>
  <c r="R11" i="23208"/>
  <c r="S11" i="23208"/>
  <c r="T11" i="23208"/>
  <c r="U11" i="23208"/>
  <c r="V11" i="23208"/>
  <c r="Y11" i="23208"/>
  <c r="E12" i="23208"/>
  <c r="F12" i="23208" s="1"/>
  <c r="G12" i="23208"/>
  <c r="M12" i="23208"/>
  <c r="P12" i="23208"/>
  <c r="Q12" i="23208"/>
  <c r="R12" i="23208"/>
  <c r="S12" i="23208"/>
  <c r="T12" i="23208"/>
  <c r="U12" i="23208"/>
  <c r="V12" i="23208"/>
  <c r="Y12" i="23208"/>
  <c r="E13" i="23208"/>
  <c r="F13" i="23208" s="1"/>
  <c r="G13" i="23208"/>
  <c r="M13" i="23208"/>
  <c r="Q13" i="23208"/>
  <c r="R13" i="23208"/>
  <c r="S13" i="23208"/>
  <c r="T13" i="23208"/>
  <c r="U13" i="23208"/>
  <c r="V13" i="23208"/>
  <c r="Y13" i="23208"/>
  <c r="Y4" i="23208"/>
  <c r="V4" i="23208"/>
  <c r="U4" i="23208"/>
  <c r="L11" i="23195"/>
  <c r="L13" i="23208" s="1"/>
  <c r="H13" i="23208" s="1"/>
  <c r="O13" i="23208" s="1"/>
  <c r="L13" i="23195"/>
  <c r="L15" i="23208" s="1"/>
  <c r="H15" i="23208" s="1"/>
  <c r="O15" i="23208" s="1"/>
  <c r="L12" i="23195"/>
  <c r="L14" i="23208" s="1"/>
  <c r="H14" i="23208" s="1"/>
  <c r="O14" i="23208" s="1"/>
  <c r="L6" i="23195"/>
  <c r="L8" i="23208" s="1"/>
  <c r="H8" i="23208" s="1"/>
  <c r="O8" i="23208" s="1"/>
  <c r="L7" i="23195"/>
  <c r="L9" i="23208" s="1"/>
  <c r="H9" i="23208" s="1"/>
  <c r="O9" i="23208" s="1"/>
  <c r="L8" i="23195"/>
  <c r="L10" i="23208" s="1"/>
  <c r="H10" i="23208" s="1"/>
  <c r="O10" i="23208" s="1"/>
  <c r="L9" i="23195"/>
  <c r="L11" i="23208" s="1"/>
  <c r="H11" i="23208" s="1"/>
  <c r="O11" i="23208" s="1"/>
  <c r="L10" i="23195"/>
  <c r="L12" i="23208" s="1"/>
  <c r="H12" i="23208" s="1"/>
  <c r="O12" i="23208" s="1"/>
  <c r="L5" i="23195"/>
  <c r="L7" i="23208" s="1"/>
  <c r="H7" i="23208" s="1"/>
  <c r="O7" i="23208" s="1"/>
  <c r="L4" i="23195"/>
  <c r="L6" i="23208" s="1"/>
  <c r="H6" i="23208" s="1"/>
  <c r="O6" i="23208" s="1"/>
  <c r="L3" i="23195"/>
  <c r="L5" i="23208" s="1"/>
  <c r="H5" i="23208" s="1"/>
  <c r="O5" i="23208" s="1"/>
  <c r="L4" i="23208"/>
  <c r="H4" i="23208" s="1"/>
  <c r="O4" i="23208" s="1"/>
  <c r="G4" i="23208"/>
  <c r="E4" i="23208"/>
  <c r="F4" i="23208" s="1"/>
  <c r="AC3" i="23208" a="1"/>
  <c r="AC3" i="23208" s="1"/>
  <c r="P4" i="23208"/>
  <c r="M4" i="23208"/>
  <c r="Q4" i="23208"/>
  <c r="R4" i="23208"/>
  <c r="S4" i="23208"/>
  <c r="T4" i="23208"/>
  <c r="H13" i="23195"/>
  <c r="H12" i="23195"/>
  <c r="H11" i="23195"/>
  <c r="H10" i="23195"/>
  <c r="H9" i="23195"/>
  <c r="H8" i="23195"/>
  <c r="H7" i="23195"/>
  <c r="H6" i="23195"/>
  <c r="H5" i="23195"/>
  <c r="H4" i="23195"/>
  <c r="H3" i="23195"/>
  <c r="D16" i="23178"/>
  <c r="G15" i="23204"/>
  <c r="G68" i="39"/>
  <c r="J68" i="39" s="1"/>
  <c r="G66" i="39"/>
  <c r="J66" i="39" s="1"/>
  <c r="G55" i="39"/>
  <c r="G53" i="39"/>
  <c r="J53" i="39" s="1"/>
  <c r="G52" i="39"/>
  <c r="J52" i="39" s="1"/>
  <c r="G51" i="39"/>
  <c r="J51" i="39" s="1"/>
  <c r="G50" i="39"/>
  <c r="J50" i="39" s="1"/>
  <c r="G48" i="39"/>
  <c r="G21" i="39"/>
  <c r="J21" i="39" s="1"/>
  <c r="C244" i="23198"/>
  <c r="E244" i="23198"/>
  <c r="J47" i="23177"/>
  <c r="K47" i="23177" s="1"/>
  <c r="J55" i="23177"/>
  <c r="K55" i="23177" s="1"/>
  <c r="J45" i="23177"/>
  <c r="I27" i="23177"/>
  <c r="J27" i="23177" s="1"/>
  <c r="K27" i="23177" s="1"/>
  <c r="I12" i="23206"/>
  <c r="F12" i="23206"/>
  <c r="G65" i="39"/>
  <c r="J65" i="39" s="1"/>
  <c r="G64" i="39"/>
  <c r="J64" i="39" s="1"/>
  <c r="G34" i="39"/>
  <c r="J34" i="39" s="1"/>
  <c r="G29" i="39"/>
  <c r="J29" i="39" s="1"/>
  <c r="G28" i="39"/>
  <c r="J28" i="39" s="1"/>
  <c r="G58" i="39"/>
  <c r="G59" i="39"/>
  <c r="J59" i="39" s="1"/>
  <c r="G57" i="39"/>
  <c r="S24" i="23203"/>
  <c r="V24" i="23203" s="1"/>
  <c r="X24" i="23203" s="1"/>
  <c r="L24" i="23203"/>
  <c r="G12" i="23206" s="1"/>
  <c r="H24" i="23203"/>
  <c r="I13" i="23204"/>
  <c r="D24" i="23203"/>
  <c r="O60" i="23204" s="1"/>
  <c r="C17" i="23205"/>
  <c r="C23" i="23205"/>
  <c r="C37" i="23198"/>
  <c r="C31" i="23198"/>
  <c r="C32" i="23198"/>
  <c r="C33" i="23198"/>
  <c r="C34" i="23198"/>
  <c r="C35" i="23198"/>
  <c r="C36" i="23198"/>
  <c r="C30" i="23198"/>
  <c r="C29" i="23198"/>
  <c r="G59" i="23198"/>
  <c r="G60" i="23198"/>
  <c r="G61" i="23198"/>
  <c r="G62" i="23198"/>
  <c r="G63" i="23198"/>
  <c r="G64" i="23198"/>
  <c r="G65" i="23198"/>
  <c r="G66" i="23198"/>
  <c r="E417" i="23198"/>
  <c r="E418" i="23198"/>
  <c r="E419" i="23198"/>
  <c r="E420" i="23198"/>
  <c r="E421" i="23198"/>
  <c r="E422" i="23198"/>
  <c r="E423" i="23198"/>
  <c r="E424" i="23198"/>
  <c r="E425" i="23198"/>
  <c r="E426" i="23198"/>
  <c r="E427" i="23198"/>
  <c r="E428" i="23198"/>
  <c r="E429" i="23198"/>
  <c r="E430" i="23198"/>
  <c r="E431" i="23198"/>
  <c r="E432" i="23198"/>
  <c r="E433" i="23198"/>
  <c r="E434" i="23198"/>
  <c r="E435" i="23198"/>
  <c r="E436" i="23198"/>
  <c r="E437" i="23198"/>
  <c r="E438" i="23198"/>
  <c r="E439" i="23198"/>
  <c r="E440" i="23198"/>
  <c r="E441" i="23198"/>
  <c r="E442" i="23198"/>
  <c r="E443" i="23198"/>
  <c r="E444" i="23198"/>
  <c r="E445" i="23198"/>
  <c r="E446" i="23198"/>
  <c r="E447" i="23198"/>
  <c r="E448" i="23198"/>
  <c r="E449" i="23198"/>
  <c r="E450" i="23198"/>
  <c r="E451" i="23198"/>
  <c r="E452" i="23198"/>
  <c r="E453" i="23198"/>
  <c r="E454" i="23198"/>
  <c r="E455" i="23198"/>
  <c r="E456" i="23198"/>
  <c r="E457" i="23198"/>
  <c r="E458" i="23198"/>
  <c r="E459" i="23198"/>
  <c r="E460" i="23198"/>
  <c r="E461" i="23198"/>
  <c r="E462" i="23198"/>
  <c r="E463" i="23198"/>
  <c r="E464" i="23198"/>
  <c r="E465" i="23198"/>
  <c r="E466" i="23198"/>
  <c r="E467" i="23198"/>
  <c r="E468" i="23198"/>
  <c r="E469" i="23198"/>
  <c r="E470" i="23198"/>
  <c r="E471" i="23198"/>
  <c r="E472" i="23198"/>
  <c r="E473" i="23198"/>
  <c r="E474" i="23198"/>
  <c r="E475" i="23198"/>
  <c r="E476" i="23198"/>
  <c r="E477" i="23198"/>
  <c r="E478" i="23198"/>
  <c r="E479" i="23198"/>
  <c r="E480" i="23198"/>
  <c r="E481" i="23198"/>
  <c r="E482" i="23198"/>
  <c r="E483" i="23198"/>
  <c r="E484" i="23198"/>
  <c r="E485" i="23198"/>
  <c r="E486" i="23198"/>
  <c r="E487" i="23198"/>
  <c r="E488" i="23198"/>
  <c r="E489" i="23198"/>
  <c r="E490" i="23198"/>
  <c r="E491" i="23198"/>
  <c r="E492" i="23198"/>
  <c r="E493" i="23198"/>
  <c r="E494" i="23198"/>
  <c r="E495" i="23198"/>
  <c r="E496" i="23198"/>
  <c r="E497" i="23198"/>
  <c r="E498" i="23198"/>
  <c r="E499" i="23198"/>
  <c r="E500" i="23198"/>
  <c r="E501" i="23198"/>
  <c r="E502" i="23198"/>
  <c r="E503" i="23198"/>
  <c r="E504" i="23198"/>
  <c r="E505" i="23198"/>
  <c r="E506" i="23198"/>
  <c r="E507" i="23198"/>
  <c r="E508" i="23198"/>
  <c r="E509" i="23198"/>
  <c r="E510" i="23198"/>
  <c r="E511" i="23198"/>
  <c r="E512" i="23198"/>
  <c r="E513" i="23198"/>
  <c r="E514" i="23198"/>
  <c r="E515" i="23198"/>
  <c r="E516" i="23198"/>
  <c r="E517" i="23198"/>
  <c r="E518" i="23198"/>
  <c r="E310" i="23198"/>
  <c r="E311" i="23198"/>
  <c r="E312" i="23198"/>
  <c r="E313" i="23198"/>
  <c r="E314" i="23198"/>
  <c r="E315" i="23198"/>
  <c r="E316" i="23198"/>
  <c r="E317" i="23198"/>
  <c r="E318" i="23198"/>
  <c r="E319" i="23198"/>
  <c r="E320" i="23198"/>
  <c r="E321" i="23198"/>
  <c r="E322" i="23198"/>
  <c r="E323" i="23198"/>
  <c r="E324" i="23198"/>
  <c r="E325" i="23198"/>
  <c r="E326" i="23198"/>
  <c r="E327" i="23198"/>
  <c r="E328" i="23198"/>
  <c r="E329" i="23198"/>
  <c r="E330" i="23198"/>
  <c r="E331" i="23198"/>
  <c r="E332" i="23198"/>
  <c r="E333" i="23198"/>
  <c r="E334" i="23198"/>
  <c r="E335" i="23198"/>
  <c r="E336" i="23198"/>
  <c r="E337" i="23198"/>
  <c r="E338" i="23198"/>
  <c r="E339" i="23198"/>
  <c r="E340" i="23198"/>
  <c r="E341" i="23198"/>
  <c r="E342" i="23198"/>
  <c r="E343" i="23198"/>
  <c r="E344" i="23198"/>
  <c r="E345" i="23198"/>
  <c r="E346" i="23198"/>
  <c r="E347" i="23198"/>
  <c r="E348" i="23198"/>
  <c r="E349" i="23198"/>
  <c r="E350" i="23198"/>
  <c r="E351" i="23198"/>
  <c r="E352" i="23198"/>
  <c r="E353" i="23198"/>
  <c r="E354" i="23198"/>
  <c r="E355" i="23198"/>
  <c r="E356" i="23198"/>
  <c r="E357" i="23198"/>
  <c r="E358" i="23198"/>
  <c r="E359" i="23198"/>
  <c r="E360" i="23198"/>
  <c r="E361" i="23198"/>
  <c r="E362" i="23198"/>
  <c r="E363" i="23198"/>
  <c r="E364" i="23198"/>
  <c r="E365" i="23198"/>
  <c r="E366" i="23198"/>
  <c r="E367" i="23198"/>
  <c r="E368" i="23198"/>
  <c r="E369" i="23198"/>
  <c r="E370" i="23198"/>
  <c r="E371" i="23198"/>
  <c r="E372" i="23198"/>
  <c r="E373" i="23198"/>
  <c r="E374" i="23198"/>
  <c r="E375" i="23198"/>
  <c r="E376" i="23198"/>
  <c r="E377" i="23198"/>
  <c r="E378" i="23198"/>
  <c r="E379" i="23198"/>
  <c r="E380" i="23198"/>
  <c r="E381" i="23198"/>
  <c r="E382" i="23198"/>
  <c r="E383" i="23198"/>
  <c r="E384" i="23198"/>
  <c r="E385" i="23198"/>
  <c r="E386" i="23198"/>
  <c r="E387" i="23198"/>
  <c r="E388" i="23198"/>
  <c r="E389" i="23198"/>
  <c r="E390" i="23198"/>
  <c r="E391" i="23198"/>
  <c r="E392" i="23198"/>
  <c r="E393" i="23198"/>
  <c r="E394" i="23198"/>
  <c r="E395" i="23198"/>
  <c r="E396" i="23198"/>
  <c r="E397" i="23198"/>
  <c r="E398" i="23198"/>
  <c r="E399" i="23198"/>
  <c r="E400" i="23198"/>
  <c r="E401" i="23198"/>
  <c r="E402" i="23198"/>
  <c r="E403" i="23198"/>
  <c r="E404" i="23198"/>
  <c r="E405" i="23198"/>
  <c r="E406" i="23198"/>
  <c r="E407" i="23198"/>
  <c r="E408" i="23198"/>
  <c r="E409" i="23198"/>
  <c r="E410" i="23198"/>
  <c r="E411" i="23198"/>
  <c r="E285" i="23198"/>
  <c r="E286" i="23198"/>
  <c r="E287" i="23198"/>
  <c r="E288" i="23198"/>
  <c r="E289" i="23198"/>
  <c r="E290" i="23198"/>
  <c r="E291" i="23198"/>
  <c r="E292" i="23198"/>
  <c r="E293" i="23198"/>
  <c r="E294" i="23198"/>
  <c r="E295" i="23198"/>
  <c r="E296" i="23198"/>
  <c r="E297" i="23198"/>
  <c r="E298" i="23198"/>
  <c r="E299" i="23198"/>
  <c r="E300" i="23198"/>
  <c r="E301" i="23198"/>
  <c r="E302" i="23198"/>
  <c r="E303" i="23198"/>
  <c r="E304" i="23198"/>
  <c r="E270" i="23198"/>
  <c r="E271" i="23198"/>
  <c r="E272" i="23198"/>
  <c r="E273" i="23198"/>
  <c r="E274" i="23198"/>
  <c r="E275" i="23198"/>
  <c r="E276" i="23198"/>
  <c r="E277" i="23198"/>
  <c r="E278" i="23198"/>
  <c r="E279" i="23198"/>
  <c r="E260" i="23198"/>
  <c r="E261" i="23198"/>
  <c r="E262" i="23198"/>
  <c r="E263" i="23198"/>
  <c r="E264" i="23198"/>
  <c r="E250" i="23198"/>
  <c r="E251" i="23198"/>
  <c r="E252" i="23198"/>
  <c r="E253" i="23198"/>
  <c r="E254" i="23198"/>
  <c r="E234" i="23198"/>
  <c r="E235" i="23198"/>
  <c r="E236" i="23198"/>
  <c r="E237" i="23198"/>
  <c r="E238" i="23198"/>
  <c r="E239" i="23198"/>
  <c r="E240" i="23198"/>
  <c r="E241" i="23198"/>
  <c r="E242" i="23198"/>
  <c r="E243" i="23198"/>
  <c r="E218" i="23198"/>
  <c r="E219" i="23198"/>
  <c r="E220" i="23198"/>
  <c r="E221" i="23198"/>
  <c r="E222" i="23198"/>
  <c r="E223" i="23198"/>
  <c r="E224" i="23198"/>
  <c r="E225" i="23198"/>
  <c r="E226" i="23198"/>
  <c r="E227" i="23198"/>
  <c r="E228" i="23198"/>
  <c r="E202" i="23198"/>
  <c r="E203" i="23198"/>
  <c r="E204" i="23198"/>
  <c r="E205" i="23198"/>
  <c r="E206" i="23198"/>
  <c r="E207" i="23198"/>
  <c r="E208" i="23198"/>
  <c r="E209" i="23198"/>
  <c r="E210" i="23198"/>
  <c r="E211" i="23198"/>
  <c r="E212" i="23198"/>
  <c r="E187" i="23198"/>
  <c r="E188" i="23198"/>
  <c r="E189" i="23198"/>
  <c r="E190" i="23198"/>
  <c r="E191" i="23198"/>
  <c r="E192" i="23198"/>
  <c r="E193" i="23198"/>
  <c r="E194" i="23198"/>
  <c r="E195" i="23198"/>
  <c r="E196" i="23198"/>
  <c r="E186" i="23198"/>
  <c r="E170" i="23198"/>
  <c r="E171" i="23198"/>
  <c r="E172" i="23198"/>
  <c r="E173" i="23198"/>
  <c r="E174" i="23198"/>
  <c r="E175" i="23198"/>
  <c r="E176" i="23198"/>
  <c r="E177" i="23198"/>
  <c r="E178" i="23198"/>
  <c r="E179" i="23198"/>
  <c r="E180" i="23198"/>
  <c r="E161" i="23198"/>
  <c r="E162" i="23198"/>
  <c r="E163" i="23198"/>
  <c r="E164" i="23198"/>
  <c r="E143" i="23198"/>
  <c r="E144" i="23198"/>
  <c r="E145" i="23198"/>
  <c r="E146" i="23198"/>
  <c r="E147" i="23198"/>
  <c r="E148" i="23198"/>
  <c r="E149" i="23198"/>
  <c r="E150" i="23198"/>
  <c r="E151" i="23198"/>
  <c r="E152" i="23198"/>
  <c r="E153" i="23198"/>
  <c r="E154" i="23198"/>
  <c r="E155" i="23198"/>
  <c r="E132" i="23198"/>
  <c r="E133" i="23198"/>
  <c r="E134" i="23198"/>
  <c r="E135" i="23198"/>
  <c r="E136" i="23198"/>
  <c r="E137" i="23198"/>
  <c r="E106" i="23198"/>
  <c r="E107" i="23198"/>
  <c r="E108" i="23198"/>
  <c r="E109" i="23198"/>
  <c r="E110" i="23198"/>
  <c r="E111" i="23198"/>
  <c r="E112" i="23198"/>
  <c r="E113" i="23198"/>
  <c r="E114" i="23198"/>
  <c r="E115" i="23198"/>
  <c r="E116" i="23198"/>
  <c r="E117" i="23198"/>
  <c r="E118" i="23198"/>
  <c r="E119" i="23198"/>
  <c r="E120" i="23198"/>
  <c r="E121" i="23198"/>
  <c r="E122" i="23198"/>
  <c r="E123" i="23198"/>
  <c r="E124" i="23198"/>
  <c r="E125" i="23198"/>
  <c r="E126" i="23198"/>
  <c r="E94" i="23198"/>
  <c r="E95" i="23198"/>
  <c r="E96" i="23198"/>
  <c r="E97" i="23198"/>
  <c r="E98" i="23198"/>
  <c r="E99" i="23198"/>
  <c r="E100" i="23198"/>
  <c r="E83" i="23198"/>
  <c r="E84" i="23198"/>
  <c r="E85" i="23198"/>
  <c r="E86" i="23198"/>
  <c r="E87" i="23198"/>
  <c r="E88" i="23198"/>
  <c r="E72" i="23198"/>
  <c r="E73" i="23198"/>
  <c r="E74" i="23198"/>
  <c r="E75" i="23198"/>
  <c r="E76" i="23198"/>
  <c r="E77" i="23198"/>
  <c r="C417" i="23198"/>
  <c r="C418" i="23198"/>
  <c r="C419" i="23198"/>
  <c r="C420" i="23198"/>
  <c r="C421" i="23198"/>
  <c r="C422" i="23198"/>
  <c r="C423" i="23198"/>
  <c r="C424" i="23198"/>
  <c r="C425" i="23198"/>
  <c r="C426" i="23198"/>
  <c r="C427" i="23198"/>
  <c r="C428" i="23198"/>
  <c r="C429" i="23198"/>
  <c r="C430" i="23198"/>
  <c r="C431" i="23198"/>
  <c r="C432" i="23198"/>
  <c r="C433" i="23198"/>
  <c r="C434" i="23198"/>
  <c r="C435" i="23198"/>
  <c r="C436" i="23198"/>
  <c r="C437" i="23198"/>
  <c r="C438" i="23198"/>
  <c r="C439" i="23198"/>
  <c r="C440" i="23198"/>
  <c r="C441" i="23198"/>
  <c r="C442" i="23198"/>
  <c r="C443" i="23198"/>
  <c r="C444" i="23198"/>
  <c r="C445" i="23198"/>
  <c r="C446" i="23198"/>
  <c r="C447" i="23198"/>
  <c r="C448" i="23198"/>
  <c r="C449" i="23198"/>
  <c r="C450" i="23198"/>
  <c r="C451" i="23198"/>
  <c r="C452" i="23198"/>
  <c r="C453" i="23198"/>
  <c r="C454" i="23198"/>
  <c r="C455" i="23198"/>
  <c r="C456" i="23198"/>
  <c r="C457" i="23198"/>
  <c r="C458" i="23198"/>
  <c r="C459" i="23198"/>
  <c r="C460" i="23198"/>
  <c r="C461" i="23198"/>
  <c r="C462" i="23198"/>
  <c r="C463" i="23198"/>
  <c r="C464" i="23198"/>
  <c r="C465" i="23198"/>
  <c r="C466" i="23198"/>
  <c r="C467" i="23198"/>
  <c r="C468" i="23198"/>
  <c r="C469" i="23198"/>
  <c r="C470" i="23198"/>
  <c r="C471" i="23198"/>
  <c r="C472" i="23198"/>
  <c r="C473" i="23198"/>
  <c r="C474" i="23198"/>
  <c r="C475" i="23198"/>
  <c r="C476" i="23198"/>
  <c r="C477" i="23198"/>
  <c r="C478" i="23198"/>
  <c r="C479" i="23198"/>
  <c r="C480" i="23198"/>
  <c r="C481" i="23198"/>
  <c r="C482" i="23198"/>
  <c r="C483" i="23198"/>
  <c r="C484" i="23198"/>
  <c r="C485" i="23198"/>
  <c r="C486" i="23198"/>
  <c r="C487" i="23198"/>
  <c r="C488" i="23198"/>
  <c r="C489" i="23198"/>
  <c r="C490" i="23198"/>
  <c r="C491" i="23198"/>
  <c r="C492" i="23198"/>
  <c r="C493" i="23198"/>
  <c r="C494" i="23198"/>
  <c r="C495" i="23198"/>
  <c r="C496" i="23198"/>
  <c r="C497" i="23198"/>
  <c r="C498" i="23198"/>
  <c r="C499" i="23198"/>
  <c r="C500" i="23198"/>
  <c r="C501" i="23198"/>
  <c r="C502" i="23198"/>
  <c r="C503" i="23198"/>
  <c r="C504" i="23198"/>
  <c r="C505" i="23198"/>
  <c r="C506" i="23198"/>
  <c r="C507" i="23198"/>
  <c r="C508" i="23198"/>
  <c r="C509" i="23198"/>
  <c r="C510" i="23198"/>
  <c r="C511" i="23198"/>
  <c r="C512" i="23198"/>
  <c r="C513" i="23198"/>
  <c r="C514" i="23198"/>
  <c r="C515" i="23198"/>
  <c r="C516" i="23198"/>
  <c r="C517" i="23198"/>
  <c r="C518" i="23198"/>
  <c r="C310" i="23198"/>
  <c r="C311" i="23198"/>
  <c r="C312" i="23198"/>
  <c r="C313" i="23198"/>
  <c r="C314" i="23198"/>
  <c r="C315" i="23198"/>
  <c r="C316" i="23198"/>
  <c r="C317" i="23198"/>
  <c r="C318" i="23198"/>
  <c r="C319" i="23198"/>
  <c r="C320" i="23198"/>
  <c r="C321" i="23198"/>
  <c r="C322" i="23198"/>
  <c r="C323" i="23198"/>
  <c r="C324" i="23198"/>
  <c r="C325" i="23198"/>
  <c r="C326" i="23198"/>
  <c r="C327" i="23198"/>
  <c r="C328" i="23198"/>
  <c r="C329" i="23198"/>
  <c r="C330" i="23198"/>
  <c r="C331" i="23198"/>
  <c r="C332" i="23198"/>
  <c r="C333" i="23198"/>
  <c r="C334" i="23198"/>
  <c r="C335" i="23198"/>
  <c r="C336" i="23198"/>
  <c r="C337" i="23198"/>
  <c r="C338" i="23198"/>
  <c r="C339" i="23198"/>
  <c r="C340" i="23198"/>
  <c r="C341" i="23198"/>
  <c r="C342" i="23198"/>
  <c r="C343" i="23198"/>
  <c r="C344" i="23198"/>
  <c r="C345" i="23198"/>
  <c r="C346" i="23198"/>
  <c r="C347" i="23198"/>
  <c r="C348" i="23198"/>
  <c r="C349" i="23198"/>
  <c r="C350" i="23198"/>
  <c r="C351" i="23198"/>
  <c r="C352" i="23198"/>
  <c r="C353" i="23198"/>
  <c r="C354" i="23198"/>
  <c r="C355" i="23198"/>
  <c r="C356" i="23198"/>
  <c r="C357" i="23198"/>
  <c r="C358" i="23198"/>
  <c r="C359" i="23198"/>
  <c r="C360" i="23198"/>
  <c r="C361" i="23198"/>
  <c r="C362" i="23198"/>
  <c r="C363" i="23198"/>
  <c r="C364" i="23198"/>
  <c r="C365" i="23198"/>
  <c r="C366" i="23198"/>
  <c r="C367" i="23198"/>
  <c r="C368" i="23198"/>
  <c r="C369" i="23198"/>
  <c r="C370" i="23198"/>
  <c r="C371" i="23198"/>
  <c r="C372" i="23198"/>
  <c r="C373" i="23198"/>
  <c r="C374" i="23198"/>
  <c r="C375" i="23198"/>
  <c r="C376" i="23198"/>
  <c r="C377" i="23198"/>
  <c r="C378" i="23198"/>
  <c r="C379" i="23198"/>
  <c r="C380" i="23198"/>
  <c r="C381" i="23198"/>
  <c r="C382" i="23198"/>
  <c r="C383" i="23198"/>
  <c r="C384" i="23198"/>
  <c r="C385" i="23198"/>
  <c r="C386" i="23198"/>
  <c r="C387" i="23198"/>
  <c r="C388" i="23198"/>
  <c r="C389" i="23198"/>
  <c r="C390" i="23198"/>
  <c r="C391" i="23198"/>
  <c r="C392" i="23198"/>
  <c r="C393" i="23198"/>
  <c r="C394" i="23198"/>
  <c r="C395" i="23198"/>
  <c r="C396" i="23198"/>
  <c r="C397" i="23198"/>
  <c r="C398" i="23198"/>
  <c r="C399" i="23198"/>
  <c r="C400" i="23198"/>
  <c r="C401" i="23198"/>
  <c r="C402" i="23198"/>
  <c r="C403" i="23198"/>
  <c r="C404" i="23198"/>
  <c r="C405" i="23198"/>
  <c r="C406" i="23198"/>
  <c r="C407" i="23198"/>
  <c r="C408" i="23198"/>
  <c r="C409" i="23198"/>
  <c r="C410" i="23198"/>
  <c r="C411" i="23198"/>
  <c r="C285" i="23198"/>
  <c r="C286" i="23198"/>
  <c r="C287" i="23198"/>
  <c r="C288" i="23198"/>
  <c r="C289" i="23198"/>
  <c r="C290" i="23198"/>
  <c r="C291" i="23198"/>
  <c r="C292" i="23198"/>
  <c r="C293" i="23198"/>
  <c r="C294" i="23198"/>
  <c r="C295" i="23198"/>
  <c r="C296" i="23198"/>
  <c r="C297" i="23198"/>
  <c r="C298" i="23198"/>
  <c r="C299" i="23198"/>
  <c r="C300" i="23198"/>
  <c r="C301" i="23198"/>
  <c r="C302" i="23198"/>
  <c r="C303" i="23198"/>
  <c r="C304" i="23198"/>
  <c r="C270" i="23198"/>
  <c r="C271" i="23198"/>
  <c r="C272" i="23198"/>
  <c r="C273" i="23198"/>
  <c r="C274" i="23198"/>
  <c r="C275" i="23198"/>
  <c r="C276" i="23198"/>
  <c r="C277" i="23198"/>
  <c r="C278" i="23198"/>
  <c r="C279" i="23198"/>
  <c r="C260" i="23198"/>
  <c r="C261" i="23198"/>
  <c r="C262" i="23198"/>
  <c r="C263" i="23198"/>
  <c r="C264" i="23198"/>
  <c r="C250" i="23198"/>
  <c r="C251" i="23198"/>
  <c r="C252" i="23198"/>
  <c r="C253" i="23198"/>
  <c r="C254" i="23198"/>
  <c r="C234" i="23198"/>
  <c r="C235" i="23198"/>
  <c r="C236" i="23198"/>
  <c r="C237" i="23198"/>
  <c r="C238" i="23198"/>
  <c r="C239" i="23198"/>
  <c r="C240" i="23198"/>
  <c r="C241" i="23198"/>
  <c r="C242" i="23198"/>
  <c r="C243" i="23198"/>
  <c r="C218" i="23198"/>
  <c r="C219" i="23198"/>
  <c r="C220" i="23198"/>
  <c r="C221" i="23198"/>
  <c r="C222" i="23198"/>
  <c r="C223" i="23198"/>
  <c r="C224" i="23198"/>
  <c r="C225" i="23198"/>
  <c r="C226" i="23198"/>
  <c r="C227" i="23198"/>
  <c r="C228" i="23198"/>
  <c r="C202" i="23198"/>
  <c r="C203" i="23198"/>
  <c r="C204" i="23198"/>
  <c r="C205" i="23198"/>
  <c r="C206" i="23198"/>
  <c r="C207" i="23198"/>
  <c r="C208" i="23198"/>
  <c r="C209" i="23198"/>
  <c r="C210" i="23198"/>
  <c r="C211" i="23198"/>
  <c r="C212" i="23198"/>
  <c r="C187" i="23198"/>
  <c r="C188" i="23198"/>
  <c r="C189" i="23198"/>
  <c r="C190" i="23198"/>
  <c r="C191" i="23198"/>
  <c r="C192" i="23198"/>
  <c r="C193" i="23198"/>
  <c r="C194" i="23198"/>
  <c r="C195" i="23198"/>
  <c r="C196" i="23198"/>
  <c r="C186" i="23198"/>
  <c r="C170" i="23198"/>
  <c r="C171" i="23198"/>
  <c r="C172" i="23198"/>
  <c r="C173" i="23198"/>
  <c r="C174" i="23198"/>
  <c r="C175" i="23198"/>
  <c r="C176" i="23198"/>
  <c r="C177" i="23198"/>
  <c r="C178" i="23198"/>
  <c r="C179" i="23198"/>
  <c r="C180" i="23198"/>
  <c r="C161" i="23198"/>
  <c r="C162" i="23198"/>
  <c r="C163" i="23198"/>
  <c r="C164" i="23198"/>
  <c r="C143" i="23198"/>
  <c r="C144" i="23198"/>
  <c r="C145" i="23198"/>
  <c r="C146" i="23198"/>
  <c r="C147" i="23198"/>
  <c r="C148" i="23198"/>
  <c r="C149" i="23198"/>
  <c r="C150" i="23198"/>
  <c r="C151" i="23198"/>
  <c r="C152" i="23198"/>
  <c r="C153" i="23198"/>
  <c r="C154" i="23198"/>
  <c r="C155" i="23198"/>
  <c r="C132" i="23198"/>
  <c r="C133" i="23198"/>
  <c r="C134" i="23198"/>
  <c r="C135" i="23198"/>
  <c r="C136" i="23198"/>
  <c r="C137" i="23198"/>
  <c r="C106" i="23198"/>
  <c r="C107" i="23198"/>
  <c r="C108" i="23198"/>
  <c r="C109" i="23198"/>
  <c r="C110" i="23198"/>
  <c r="C111" i="23198"/>
  <c r="C112" i="23198"/>
  <c r="C113" i="23198"/>
  <c r="C114" i="23198"/>
  <c r="C115" i="23198"/>
  <c r="C116" i="23198"/>
  <c r="C117" i="23198"/>
  <c r="C118" i="23198"/>
  <c r="C119" i="23198"/>
  <c r="C120" i="23198"/>
  <c r="C121" i="23198"/>
  <c r="C122" i="23198"/>
  <c r="C123" i="23198"/>
  <c r="C124" i="23198"/>
  <c r="C125" i="23198"/>
  <c r="C126" i="23198"/>
  <c r="C94" i="23198"/>
  <c r="C95" i="23198"/>
  <c r="C96" i="23198"/>
  <c r="C97" i="23198"/>
  <c r="C98" i="23198"/>
  <c r="C99" i="23198"/>
  <c r="C100" i="23198"/>
  <c r="C88" i="23198"/>
  <c r="C87" i="23198"/>
  <c r="C86" i="23198"/>
  <c r="C85" i="23198"/>
  <c r="C84" i="23198"/>
  <c r="C83" i="23198"/>
  <c r="C72" i="23198"/>
  <c r="C73" i="23198"/>
  <c r="C74" i="23198"/>
  <c r="C75" i="23198"/>
  <c r="C76" i="23198"/>
  <c r="C77" i="23198"/>
  <c r="E59" i="23198"/>
  <c r="E60" i="23198"/>
  <c r="E61" i="23198"/>
  <c r="E62" i="23198"/>
  <c r="E63" i="23198"/>
  <c r="E64" i="23198"/>
  <c r="E65" i="23198"/>
  <c r="E66" i="23198"/>
  <c r="C59" i="23198"/>
  <c r="C60" i="23198"/>
  <c r="C61" i="23198"/>
  <c r="C62" i="23198"/>
  <c r="C63" i="23198"/>
  <c r="C64" i="23198"/>
  <c r="C65" i="23198"/>
  <c r="C66" i="23198"/>
  <c r="E46" i="23198"/>
  <c r="E47" i="23198"/>
  <c r="E48" i="23198"/>
  <c r="E49" i="23198"/>
  <c r="E50" i="23198"/>
  <c r="E51" i="23198"/>
  <c r="E52" i="23198"/>
  <c r="E53" i="23198"/>
  <c r="C46" i="23198"/>
  <c r="C47" i="23198"/>
  <c r="C48" i="23198"/>
  <c r="C49" i="23198"/>
  <c r="C50" i="23198"/>
  <c r="C51" i="23198"/>
  <c r="C52" i="23198"/>
  <c r="C53" i="23198"/>
  <c r="B121" i="23184"/>
  <c r="C84" i="23184"/>
  <c r="C85" i="23184"/>
  <c r="AV85" i="23184" s="1"/>
  <c r="C86" i="23184"/>
  <c r="J86" i="23184" s="1"/>
  <c r="C87" i="23184"/>
  <c r="K87" i="23184" s="1"/>
  <c r="C88" i="23184"/>
  <c r="C89" i="23184"/>
  <c r="B88" i="23184" s="1"/>
  <c r="C90" i="23184"/>
  <c r="C91" i="23184"/>
  <c r="Y91" i="23184" s="1"/>
  <c r="C92" i="23184"/>
  <c r="H92" i="23184" s="1"/>
  <c r="C93" i="23184"/>
  <c r="C94" i="23184"/>
  <c r="H94" i="23184" s="1"/>
  <c r="C95" i="23184"/>
  <c r="C96" i="23184"/>
  <c r="Z96" i="23184" s="1"/>
  <c r="C97" i="23184"/>
  <c r="AN97" i="23184" s="1"/>
  <c r="C98" i="23184"/>
  <c r="C99" i="23184"/>
  <c r="V99" i="23184" s="1"/>
  <c r="C100" i="23184"/>
  <c r="C101" i="23184"/>
  <c r="C102" i="23184"/>
  <c r="C103" i="23184"/>
  <c r="AI103" i="23184" s="1"/>
  <c r="C104" i="23184"/>
  <c r="C105" i="23184"/>
  <c r="C106" i="23184"/>
  <c r="AH106" i="23184" s="1"/>
  <c r="C107" i="23184"/>
  <c r="C108" i="23184"/>
  <c r="C109" i="23184"/>
  <c r="J109" i="23184" s="1"/>
  <c r="C110" i="23184"/>
  <c r="AI110" i="23184" s="1"/>
  <c r="C111" i="23184"/>
  <c r="F111" i="23184" s="1"/>
  <c r="C112" i="23184"/>
  <c r="AG112" i="23184" s="1"/>
  <c r="C113" i="23184"/>
  <c r="Z113" i="23184" s="1"/>
  <c r="C114" i="23184"/>
  <c r="O114" i="23184" s="1"/>
  <c r="C115" i="23184"/>
  <c r="L115" i="23184" s="1"/>
  <c r="C116" i="23184"/>
  <c r="AU116" i="23184" s="1"/>
  <c r="C117" i="23184"/>
  <c r="C118" i="23184"/>
  <c r="AL118" i="23184" s="1"/>
  <c r="C119" i="23184"/>
  <c r="X119" i="23184" s="1"/>
  <c r="C120" i="23184"/>
  <c r="C121" i="23184"/>
  <c r="AF121" i="23184" s="1"/>
  <c r="B19" i="23183"/>
  <c r="B20" i="23183"/>
  <c r="B21" i="23183"/>
  <c r="AE21" i="23183" s="1"/>
  <c r="B22" i="23183"/>
  <c r="J22" i="23183" s="1"/>
  <c r="B23" i="23183"/>
  <c r="M23" i="23183" s="1"/>
  <c r="B24" i="23183"/>
  <c r="C24" i="23183" s="1"/>
  <c r="B25" i="23183"/>
  <c r="B26" i="23183"/>
  <c r="E26" i="23183" s="1"/>
  <c r="B27" i="23183"/>
  <c r="AK27" i="23183" s="1"/>
  <c r="B28" i="23183"/>
  <c r="AC28" i="23183" s="1"/>
  <c r="B29" i="23183"/>
  <c r="F29" i="23183" s="1"/>
  <c r="B30" i="23183"/>
  <c r="BC30" i="23183" s="1"/>
  <c r="B31" i="23183"/>
  <c r="B32" i="23183"/>
  <c r="W32" i="23183" s="1"/>
  <c r="B33" i="23183"/>
  <c r="F33" i="23183" s="1"/>
  <c r="B34" i="23183"/>
  <c r="BK34" i="23183" s="1"/>
  <c r="B35" i="23183"/>
  <c r="AS35" i="23183" s="1"/>
  <c r="B36" i="23183"/>
  <c r="AS36" i="23183" s="1"/>
  <c r="B37" i="23183"/>
  <c r="B38" i="23183"/>
  <c r="B39" i="23183"/>
  <c r="BR39" i="23183" s="1"/>
  <c r="B40" i="23183"/>
  <c r="BA40" i="23183" s="1"/>
  <c r="B41" i="23183"/>
  <c r="O41" i="23183" s="1"/>
  <c r="B42" i="23183"/>
  <c r="AZ42" i="23183" s="1"/>
  <c r="B43" i="23183"/>
  <c r="B44" i="23183"/>
  <c r="AA44" i="23183" s="1"/>
  <c r="B45" i="23183"/>
  <c r="B46" i="23183"/>
  <c r="AL46" i="23183" s="1"/>
  <c r="B47" i="23183"/>
  <c r="T47" i="23183" s="1"/>
  <c r="B48" i="23183"/>
  <c r="B49" i="23183"/>
  <c r="Z49" i="23183" s="1"/>
  <c r="B50" i="23183"/>
  <c r="I50" i="23183" s="1"/>
  <c r="B51" i="23183"/>
  <c r="AI51" i="23183" s="1"/>
  <c r="B52" i="23183"/>
  <c r="AK52" i="23183" s="1"/>
  <c r="B53" i="23183"/>
  <c r="B54" i="23183"/>
  <c r="BM54" i="23183" s="1"/>
  <c r="B55" i="23183"/>
  <c r="BJ55" i="23183" s="1"/>
  <c r="B56" i="23183"/>
  <c r="AU56" i="23183" s="1"/>
  <c r="B57" i="23183"/>
  <c r="M57" i="23183" s="1"/>
  <c r="B58" i="23183"/>
  <c r="K58" i="23183" s="1"/>
  <c r="B59" i="23183"/>
  <c r="H59" i="23183" s="1"/>
  <c r="B60" i="23183"/>
  <c r="BG60" i="23183" s="1"/>
  <c r="B61" i="23183"/>
  <c r="B62" i="23183"/>
  <c r="B63" i="23183"/>
  <c r="B58" i="23201" s="1"/>
  <c r="F58" i="23201" s="1"/>
  <c r="C58" i="23201" s="1"/>
  <c r="B64" i="23183"/>
  <c r="V64" i="23183" s="1"/>
  <c r="B65" i="23183"/>
  <c r="B66" i="23183"/>
  <c r="BA66" i="23183" s="1"/>
  <c r="B67" i="23183"/>
  <c r="B68" i="23183"/>
  <c r="G68" i="23183" s="1"/>
  <c r="B69" i="23183"/>
  <c r="M69" i="23183" s="1"/>
  <c r="B70" i="23183"/>
  <c r="P70" i="23183" s="1"/>
  <c r="B71" i="23183"/>
  <c r="AL71" i="23183" s="1"/>
  <c r="B72" i="23183"/>
  <c r="R72" i="23183" s="1"/>
  <c r="B73" i="23183"/>
  <c r="CZ73" i="23183" s="1"/>
  <c r="B74" i="23183"/>
  <c r="L74" i="23183" s="1"/>
  <c r="B75" i="23183"/>
  <c r="BF75" i="23183" s="1"/>
  <c r="B76" i="23183"/>
  <c r="AH76" i="23183" s="1"/>
  <c r="B77" i="23183"/>
  <c r="B78" i="23183"/>
  <c r="AV78" i="23183" s="1"/>
  <c r="B79" i="23183"/>
  <c r="B80" i="23183"/>
  <c r="AG80" i="23183" s="1"/>
  <c r="B81" i="23183"/>
  <c r="P81" i="23183" s="1"/>
  <c r="B82" i="23183"/>
  <c r="L82" i="23183" s="1"/>
  <c r="B83" i="23183"/>
  <c r="AL83" i="23183" s="1"/>
  <c r="B84" i="23183"/>
  <c r="AV84" i="23183" s="1"/>
  <c r="B85" i="23183"/>
  <c r="E85" i="23183" s="1"/>
  <c r="B86" i="23183"/>
  <c r="AE86" i="23183" s="1"/>
  <c r="B87" i="23183"/>
  <c r="BN87" i="23183" s="1"/>
  <c r="B18" i="23183"/>
  <c r="BL18" i="23183" s="1"/>
  <c r="AU109" i="23184"/>
  <c r="BY20" i="23183"/>
  <c r="AA87" i="23184"/>
  <c r="AG98" i="23184"/>
  <c r="Y86" i="23184"/>
  <c r="Y103" i="23184"/>
  <c r="AC98" i="23184"/>
  <c r="L109" i="23184"/>
  <c r="G103" i="23184"/>
  <c r="B85" i="23184"/>
  <c r="H91" i="23184"/>
  <c r="G116" i="23184"/>
  <c r="BK30" i="23183"/>
  <c r="BH40" i="23183"/>
  <c r="BF28" i="23183"/>
  <c r="X66" i="23183"/>
  <c r="BM51" i="23183"/>
  <c r="S80" i="23183"/>
  <c r="AD80" i="23183"/>
  <c r="AJ51" i="23183"/>
  <c r="AJ78" i="23183"/>
  <c r="W78" i="23183"/>
  <c r="AE27" i="23183"/>
  <c r="AN80" i="23183"/>
  <c r="AD66" i="23183"/>
  <c r="AZ75" i="23183"/>
  <c r="BA75" i="23183"/>
  <c r="AU68" i="23183"/>
  <c r="AT56" i="23183"/>
  <c r="R56" i="23183"/>
  <c r="AG56" i="23183"/>
  <c r="AT44" i="23183"/>
  <c r="AC44" i="23183"/>
  <c r="AO44" i="23183"/>
  <c r="AQ44" i="23183"/>
  <c r="T32" i="23183"/>
  <c r="AY32" i="23183"/>
  <c r="AM32" i="23183"/>
  <c r="Z80" i="23183"/>
  <c r="Z66" i="23183"/>
  <c r="AC63" i="23183"/>
  <c r="AT78" i="23183"/>
  <c r="Z30" i="23183"/>
  <c r="AZ30" i="23183"/>
  <c r="AU30" i="23183"/>
  <c r="AM56" i="23183"/>
  <c r="AY39" i="23183"/>
  <c r="AZ39" i="23183"/>
  <c r="AO25" i="23183"/>
  <c r="AT60" i="23183"/>
  <c r="AR42" i="23183"/>
  <c r="AI42" i="23183"/>
  <c r="AZ67" i="23183"/>
  <c r="AT66" i="23183"/>
  <c r="AA66" i="23183"/>
  <c r="AN87" i="23183"/>
  <c r="T81" i="23183"/>
  <c r="AI80" i="23183"/>
  <c r="W75" i="23183"/>
  <c r="M59" i="23183"/>
  <c r="F39" i="23183"/>
  <c r="K79" i="23183"/>
  <c r="I56" i="23183"/>
  <c r="K78" i="23183"/>
  <c r="N66" i="23183"/>
  <c r="H66" i="23183"/>
  <c r="I54" i="23183"/>
  <c r="I78" i="23183"/>
  <c r="N80" i="23183"/>
  <c r="N42" i="23183"/>
  <c r="E42" i="23183"/>
  <c r="G66" i="23183"/>
  <c r="P78" i="23183"/>
  <c r="Q47" i="23183"/>
  <c r="L47" i="23183"/>
  <c r="N30" i="23183"/>
  <c r="G30" i="23183"/>
  <c r="I30" i="23183"/>
  <c r="F80" i="23183"/>
  <c r="H68" i="23183"/>
  <c r="J68" i="23183"/>
  <c r="L56" i="23183"/>
  <c r="M56" i="23183"/>
  <c r="N56" i="23183"/>
  <c r="K44" i="23183"/>
  <c r="L44" i="23183"/>
  <c r="Q44" i="23183"/>
  <c r="L32" i="23183"/>
  <c r="J32" i="23183"/>
  <c r="O32" i="23183"/>
  <c r="G43" i="23183"/>
  <c r="O56" i="23183"/>
  <c r="J41" i="23183"/>
  <c r="F40" i="23183"/>
  <c r="I28" i="23183"/>
  <c r="H39" i="23183"/>
  <c r="I39" i="23183"/>
  <c r="L75" i="23183"/>
  <c r="I51" i="23183"/>
  <c r="I4" i="23210"/>
  <c r="I4" i="23209"/>
  <c r="F17" i="23175"/>
  <c r="F16" i="23175"/>
  <c r="H3" i="23199" s="1"/>
  <c r="J3" i="23200" s="1"/>
  <c r="F13" i="23175"/>
  <c r="F18" i="23175" s="1"/>
  <c r="D17" i="23205" s="1"/>
  <c r="I15" i="23202"/>
  <c r="I16" i="23202" s="1"/>
  <c r="H15" i="23202"/>
  <c r="H16" i="23202" s="1"/>
  <c r="I14" i="23195"/>
  <c r="A14" i="23195" s="1"/>
  <c r="G43" i="39"/>
  <c r="G44" i="39"/>
  <c r="G45" i="39"/>
  <c r="G46" i="39"/>
  <c r="A25" i="23203"/>
  <c r="A26" i="23203" s="1"/>
  <c r="A27" i="23203" s="1"/>
  <c r="A28" i="23203" s="1"/>
  <c r="A29" i="23203" s="1"/>
  <c r="A30" i="23203" s="1"/>
  <c r="A31" i="23203" s="1"/>
  <c r="A32" i="23203" s="1"/>
  <c r="A33" i="23203" s="1"/>
  <c r="A34" i="23203" s="1"/>
  <c r="A35" i="23203" s="1"/>
  <c r="A36" i="23203" s="1"/>
  <c r="A37" i="23203" s="1"/>
  <c r="A38" i="23203" s="1"/>
  <c r="A39" i="23203" s="1"/>
  <c r="A40" i="23203" s="1"/>
  <c r="A41" i="23203" s="1"/>
  <c r="A42" i="23203" s="1"/>
  <c r="A43" i="23203" s="1"/>
  <c r="A44" i="23203" s="1"/>
  <c r="A45" i="23203" s="1"/>
  <c r="A46" i="23203" s="1"/>
  <c r="A47" i="23203" s="1"/>
  <c r="A48" i="23203" s="1"/>
  <c r="A49" i="23203" s="1"/>
  <c r="A50" i="23203" s="1"/>
  <c r="A51" i="23203" s="1"/>
  <c r="A52" i="23203" s="1"/>
  <c r="A53" i="23203" s="1"/>
  <c r="A54" i="23203" s="1"/>
  <c r="A55" i="23203" s="1"/>
  <c r="A56" i="23203" s="1"/>
  <c r="A57" i="23203" s="1"/>
  <c r="A58" i="23203" s="1"/>
  <c r="A59" i="23203" s="1"/>
  <c r="A60" i="23203" s="1"/>
  <c r="A61" i="23203" s="1"/>
  <c r="A62" i="23203" s="1"/>
  <c r="A63" i="23203" s="1"/>
  <c r="A64" i="23203" s="1"/>
  <c r="A65" i="23203" s="1"/>
  <c r="A66" i="23203" s="1"/>
  <c r="A67" i="23203" s="1"/>
  <c r="A68" i="23203" s="1"/>
  <c r="A69" i="23203" s="1"/>
  <c r="A70" i="23203" s="1"/>
  <c r="A71" i="23203" s="1"/>
  <c r="A72" i="23203" s="1"/>
  <c r="A73" i="23203" s="1"/>
  <c r="A74" i="23203" s="1"/>
  <c r="A75" i="23203" s="1"/>
  <c r="A76" i="23203" s="1"/>
  <c r="A77" i="23203" s="1"/>
  <c r="A78" i="23203" s="1"/>
  <c r="A79" i="23203" s="1"/>
  <c r="A80" i="23203" s="1"/>
  <c r="A81" i="23203" s="1"/>
  <c r="A82" i="23203" s="1"/>
  <c r="A83" i="23203" s="1"/>
  <c r="A84" i="23203" s="1"/>
  <c r="A85" i="23203" s="1"/>
  <c r="A86" i="23203" s="1"/>
  <c r="A87" i="23203" s="1"/>
  <c r="A88" i="23203" s="1"/>
  <c r="A89" i="23203" s="1"/>
  <c r="A90" i="23203" s="1"/>
  <c r="A91" i="23203" s="1"/>
  <c r="A92" i="23203" s="1"/>
  <c r="A93" i="23203" s="1"/>
  <c r="A94" i="23203" s="1"/>
  <c r="A95" i="23203" s="1"/>
  <c r="A96" i="23203" s="1"/>
  <c r="A97" i="23203" s="1"/>
  <c r="A98" i="23203" s="1"/>
  <c r="A99" i="23203" s="1"/>
  <c r="A100" i="23203" s="1"/>
  <c r="A101" i="23203" s="1"/>
  <c r="A102" i="23203" s="1"/>
  <c r="A103" i="23203" s="1"/>
  <c r="A104" i="23203" s="1"/>
  <c r="A105" i="23203" s="1"/>
  <c r="A106" i="23203" s="1"/>
  <c r="A107" i="23203" s="1"/>
  <c r="A108" i="23203" s="1"/>
  <c r="A109" i="23203" s="1"/>
  <c r="A110" i="23203" s="1"/>
  <c r="A111" i="23203" s="1"/>
  <c r="A112" i="23203" s="1"/>
  <c r="A113" i="23203" s="1"/>
  <c r="A114" i="23203" s="1"/>
  <c r="A115" i="23203" s="1"/>
  <c r="A116" i="23203" s="1"/>
  <c r="A117" i="23203" s="1"/>
  <c r="A118" i="23203" s="1"/>
  <c r="A119" i="23203" s="1"/>
  <c r="A120" i="23203" s="1"/>
  <c r="A121" i="23203" s="1"/>
  <c r="A122" i="23203" s="1"/>
  <c r="A123" i="23203" s="1"/>
  <c r="A124" i="23203" s="1"/>
  <c r="A125" i="23203" s="1"/>
  <c r="A126" i="23203" s="1"/>
  <c r="A127" i="23203" s="1"/>
  <c r="A128" i="23203" s="1"/>
  <c r="A129" i="23203" s="1"/>
  <c r="A130" i="23203" s="1"/>
  <c r="A131" i="23203" s="1"/>
  <c r="A132" i="23203" s="1"/>
  <c r="A133" i="23203" s="1"/>
  <c r="A134" i="23203" s="1"/>
  <c r="A135" i="23203" s="1"/>
  <c r="A136" i="23203" s="1"/>
  <c r="A137" i="23203" s="1"/>
  <c r="A138" i="23203" s="1"/>
  <c r="A139" i="23203" s="1"/>
  <c r="A140" i="23203" s="1"/>
  <c r="A141" i="23203" s="1"/>
  <c r="A142" i="23203" s="1"/>
  <c r="A143" i="23203" s="1"/>
  <c r="A144" i="23203" s="1"/>
  <c r="A145" i="23203" s="1"/>
  <c r="A146" i="23203" s="1"/>
  <c r="A147" i="23203" s="1"/>
  <c r="A148" i="23203" s="1"/>
  <c r="A149" i="23203" s="1"/>
  <c r="A150" i="23203" s="1"/>
  <c r="A151" i="23203" s="1"/>
  <c r="A152" i="23203" s="1"/>
  <c r="A153" i="23203" s="1"/>
  <c r="A154" i="23203" s="1"/>
  <c r="A155" i="23203" s="1"/>
  <c r="A156" i="23203" s="1"/>
  <c r="A157" i="23203" s="1"/>
  <c r="A158" i="23203" s="1"/>
  <c r="A159" i="23203" s="1"/>
  <c r="A160" i="23203" s="1"/>
  <c r="A161" i="23203" s="1"/>
  <c r="A162" i="23203" s="1"/>
  <c r="A163" i="23203" s="1"/>
  <c r="A164" i="23203" s="1"/>
  <c r="A165" i="23203" s="1"/>
  <c r="A166" i="23203" s="1"/>
  <c r="A167" i="23203" s="1"/>
  <c r="A168" i="23203" s="1"/>
  <c r="A169" i="23203" s="1"/>
  <c r="A170" i="23203" s="1"/>
  <c r="A171" i="23203" s="1"/>
  <c r="A172" i="23203" s="1"/>
  <c r="A173" i="23203" s="1"/>
  <c r="A174" i="23203" s="1"/>
  <c r="A175" i="23203" s="1"/>
  <c r="A176" i="23203" s="1"/>
  <c r="A177" i="23203" s="1"/>
  <c r="A178" i="23203" s="1"/>
  <c r="A179" i="23203" s="1"/>
  <c r="A180" i="23203" s="1"/>
  <c r="A181" i="23203" s="1"/>
  <c r="A182" i="23203" s="1"/>
  <c r="A183" i="23203" s="1"/>
  <c r="A184" i="23203" s="1"/>
  <c r="A185" i="23203" s="1"/>
  <c r="A186" i="23203" s="1"/>
  <c r="A187" i="23203" s="1"/>
  <c r="A188" i="23203" s="1"/>
  <c r="A189" i="23203" s="1"/>
  <c r="A190" i="23203" s="1"/>
  <c r="A191" i="23203" s="1"/>
  <c r="A192" i="23203" s="1"/>
  <c r="A193" i="23203" s="1"/>
  <c r="A194" i="23203" s="1"/>
  <c r="A195" i="23203" s="1"/>
  <c r="A196" i="23203" s="1"/>
  <c r="A197" i="23203" s="1"/>
  <c r="A198" i="23203" s="1"/>
  <c r="A199" i="23203" s="1"/>
  <c r="A200" i="23203" s="1"/>
  <c r="A201" i="23203" s="1"/>
  <c r="A202" i="23203" s="1"/>
  <c r="A203" i="23203" s="1"/>
  <c r="A204" i="23203" s="1"/>
  <c r="A205" i="23203" s="1"/>
  <c r="A206" i="23203" s="1"/>
  <c r="A207" i="23203" s="1"/>
  <c r="A208" i="23203" s="1"/>
  <c r="A209" i="23203" s="1"/>
  <c r="A210" i="23203" s="1"/>
  <c r="A211" i="23203" s="1"/>
  <c r="A212" i="23203" s="1"/>
  <c r="A213" i="23203" s="1"/>
  <c r="A214" i="23203" s="1"/>
  <c r="A215" i="23203" s="1"/>
  <c r="A216" i="23203" s="1"/>
  <c r="A217" i="23203" s="1"/>
  <c r="A218" i="23203" s="1"/>
  <c r="A219" i="23203" s="1"/>
  <c r="A220" i="23203" s="1"/>
  <c r="I20" i="23202"/>
  <c r="I21" i="23202" s="1"/>
  <c r="I22" i="23202" s="1"/>
  <c r="I23" i="23202" s="1"/>
  <c r="I26" i="23202" s="1"/>
  <c r="I27" i="23202" s="1"/>
  <c r="I28" i="23202" s="1"/>
  <c r="I29" i="23202" s="1"/>
  <c r="I30" i="23202" s="1"/>
  <c r="I32" i="23202" s="1"/>
  <c r="I33" i="23202" s="1"/>
  <c r="I34" i="23202" s="1"/>
  <c r="I35" i="23202" s="1"/>
  <c r="I36" i="23202" s="1"/>
  <c r="I39" i="23202" s="1"/>
  <c r="I40" i="23202" s="1"/>
  <c r="H20" i="23202"/>
  <c r="H21" i="23202" s="1"/>
  <c r="H22" i="23202" s="1"/>
  <c r="H23" i="23202" s="1"/>
  <c r="H26" i="23202" s="1"/>
  <c r="H27" i="23202" s="1"/>
  <c r="H28" i="23202" s="1"/>
  <c r="H29" i="23202" s="1"/>
  <c r="H30" i="23202" s="1"/>
  <c r="H32" i="23202" s="1"/>
  <c r="H33" i="23202" s="1"/>
  <c r="H34" i="23202" s="1"/>
  <c r="H35" i="23202" s="1"/>
  <c r="H36" i="23202" s="1"/>
  <c r="H39" i="23202" s="1"/>
  <c r="H40" i="23202" s="1"/>
  <c r="G70" i="39"/>
  <c r="G42" i="39"/>
  <c r="G73" i="39"/>
  <c r="J73" i="39" s="1"/>
  <c r="G72" i="39"/>
  <c r="J72" i="39" s="1"/>
  <c r="G41" i="39"/>
  <c r="G26" i="39"/>
  <c r="J26" i="39" s="1"/>
  <c r="G30" i="39"/>
  <c r="J30" i="39" s="1"/>
  <c r="G31" i="39"/>
  <c r="J31" i="39" s="1"/>
  <c r="G32" i="39"/>
  <c r="J32" i="39" s="1"/>
  <c r="G27" i="39"/>
  <c r="J27" i="39" s="1"/>
  <c r="G40" i="39"/>
  <c r="G37" i="39"/>
  <c r="G25" i="39"/>
  <c r="J25" i="39" s="1"/>
  <c r="G24" i="39"/>
  <c r="J24" i="39" s="1"/>
  <c r="G23" i="39"/>
  <c r="J23" i="39" s="1"/>
  <c r="G22" i="39"/>
  <c r="J22" i="39" s="1"/>
  <c r="G20" i="39"/>
  <c r="G36" i="39"/>
  <c r="J36" i="39" s="1"/>
  <c r="G18" i="39"/>
  <c r="J18" i="39" s="1"/>
  <c r="K3" i="23193"/>
  <c r="C28" i="23193" s="1"/>
  <c r="K5" i="23193"/>
  <c r="C55" i="23193" s="1"/>
  <c r="C50" i="23193"/>
  <c r="A48" i="23183"/>
  <c r="A49" i="23183" s="1"/>
  <c r="A50" i="23183" s="1"/>
  <c r="A51" i="23183" s="1"/>
  <c r="A52" i="23183" s="1"/>
  <c r="A53" i="23183" s="1"/>
  <c r="A54" i="23183" s="1"/>
  <c r="A55" i="23183" s="1"/>
  <c r="A56" i="23183" s="1"/>
  <c r="A57" i="23183" s="1"/>
  <c r="A58" i="23183" s="1"/>
  <c r="A59" i="23183" s="1"/>
  <c r="A60" i="23183" s="1"/>
  <c r="A61" i="23183" s="1"/>
  <c r="A62" i="23183" s="1"/>
  <c r="A63" i="23183" s="1"/>
  <c r="A64" i="23183" s="1"/>
  <c r="A65" i="23183" s="1"/>
  <c r="A66" i="23183" s="1"/>
  <c r="A67" i="23183" s="1"/>
  <c r="A68" i="23183" s="1"/>
  <c r="A69" i="23183" s="1"/>
  <c r="A70" i="23183" s="1"/>
  <c r="A71" i="23183" s="1"/>
  <c r="A72" i="23183" s="1"/>
  <c r="A73" i="23183" s="1"/>
  <c r="A74" i="23183" s="1"/>
  <c r="A75" i="23183" s="1"/>
  <c r="A76" i="23183" s="1"/>
  <c r="A77" i="23183" s="1"/>
  <c r="A78" i="23183" s="1"/>
  <c r="A79" i="23183" s="1"/>
  <c r="A80" i="23183" s="1"/>
  <c r="A81" i="23183" s="1"/>
  <c r="A82" i="23183" s="1"/>
  <c r="A83" i="23183" s="1"/>
  <c r="A84" i="23183" s="1"/>
  <c r="A85" i="23183" s="1"/>
  <c r="A86" i="23183" s="1"/>
  <c r="A87" i="23183" s="1"/>
  <c r="J50" i="23177"/>
  <c r="K50" i="23177" s="1"/>
  <c r="F6" i="23208" l="1"/>
  <c r="O64" i="23183"/>
  <c r="C40" i="23183"/>
  <c r="AN63" i="23183"/>
  <c r="Z5" i="23208"/>
  <c r="Y27" i="23183"/>
  <c r="M51" i="23183"/>
  <c r="K39" i="23183"/>
  <c r="G51" i="23183"/>
  <c r="J71" i="23183"/>
  <c r="H63" i="23183"/>
  <c r="AO28" i="23183"/>
  <c r="AS87" i="23183"/>
  <c r="AE39" i="23183"/>
  <c r="BA63" i="23183"/>
  <c r="AG87" i="23183"/>
  <c r="AV51" i="23183"/>
  <c r="BG51" i="23183"/>
  <c r="C23" i="23184"/>
  <c r="G23" i="23184" s="1"/>
  <c r="BL51" i="23183"/>
  <c r="E39" i="23183"/>
  <c r="AV75" i="23183"/>
  <c r="AF51" i="23183"/>
  <c r="AJ39" i="23183"/>
  <c r="AP75" i="23183"/>
  <c r="M75" i="23183"/>
  <c r="Z87" i="23183"/>
  <c r="BI51" i="23183"/>
  <c r="Q87" i="23183"/>
  <c r="E51" i="23183"/>
  <c r="AY63" i="23183"/>
  <c r="F51" i="23183"/>
  <c r="BM27" i="23183"/>
  <c r="P27" i="23183"/>
  <c r="D23" i="23183"/>
  <c r="AZ87" i="23183"/>
  <c r="AD63" i="23183"/>
  <c r="AO64" i="23183"/>
  <c r="G63" i="23183"/>
  <c r="V51" i="23183"/>
  <c r="AR51" i="23183"/>
  <c r="AV63" i="23183"/>
  <c r="BE87" i="23183"/>
  <c r="D39" i="23183"/>
  <c r="AD51" i="23183"/>
  <c r="AQ76" i="23183"/>
  <c r="AT75" i="23183"/>
  <c r="U87" i="23183"/>
  <c r="N75" i="23183"/>
  <c r="AW87" i="23183"/>
  <c r="AP83" i="23183"/>
  <c r="BG27" i="23183"/>
  <c r="H51" i="23183"/>
  <c r="AN75" i="23183"/>
  <c r="W39" i="23183"/>
  <c r="AX27" i="23183"/>
  <c r="AK51" i="23183"/>
  <c r="E27" i="23183"/>
  <c r="K51" i="23183"/>
  <c r="G32" i="23183"/>
  <c r="Q80" i="23183"/>
  <c r="P76" i="23183"/>
  <c r="W63" i="23183"/>
  <c r="W52" i="23183"/>
  <c r="X80" i="23183"/>
  <c r="V39" i="23183"/>
  <c r="D78" i="23183"/>
  <c r="AS32" i="23183"/>
  <c r="AT68" i="23183"/>
  <c r="AO27" i="23183"/>
  <c r="AO68" i="23183"/>
  <c r="U75" i="23183"/>
  <c r="BP51" i="23183"/>
  <c r="BE66" i="23183"/>
  <c r="AD103" i="23184"/>
  <c r="BU63" i="23183"/>
  <c r="U51" i="23183"/>
  <c r="J39" i="23183"/>
  <c r="BA87" i="23183"/>
  <c r="P63" i="23183"/>
  <c r="AX63" i="23183"/>
  <c r="BJ27" i="23183"/>
  <c r="G27" i="23183"/>
  <c r="O75" i="23183"/>
  <c r="O87" i="23183"/>
  <c r="AF39" i="23183"/>
  <c r="AZ80" i="23183"/>
  <c r="AR87" i="23183"/>
  <c r="S51" i="23183"/>
  <c r="BC39" i="23183"/>
  <c r="CR51" i="23183"/>
  <c r="AX39" i="23183"/>
  <c r="O94" i="23184"/>
  <c r="N63" i="23183"/>
  <c r="S39" i="23183"/>
  <c r="BK87" i="23183"/>
  <c r="P51" i="23183"/>
  <c r="L51" i="23183"/>
  <c r="AH40" i="23183"/>
  <c r="S87" i="23183"/>
  <c r="AG75" i="23183"/>
  <c r="BI87" i="23183"/>
  <c r="I27" i="23183"/>
  <c r="D51" i="23183"/>
  <c r="Q35" i="23183"/>
  <c r="AE40" i="23183"/>
  <c r="AS39" i="23183"/>
  <c r="AG27" i="23183"/>
  <c r="AI87" i="23183"/>
  <c r="BG87" i="23183"/>
  <c r="C51" i="23183"/>
  <c r="U63" i="23183"/>
  <c r="M27" i="23183"/>
  <c r="L80" i="23183"/>
  <c r="AR64" i="23183"/>
  <c r="C64" i="23183"/>
  <c r="AA83" i="23183"/>
  <c r="AJ47" i="23183"/>
  <c r="AI27" i="23183"/>
  <c r="K27" i="23183"/>
  <c r="Q75" i="23183"/>
  <c r="I32" i="23183"/>
  <c r="F59" i="23183"/>
  <c r="G75" i="23183"/>
  <c r="W66" i="23183"/>
  <c r="AM87" i="23183"/>
  <c r="AC39" i="23183"/>
  <c r="AX47" i="23183"/>
  <c r="AJ32" i="23183"/>
  <c r="X75" i="23183"/>
  <c r="AC27" i="23183"/>
  <c r="AP51" i="23183"/>
  <c r="AN51" i="23183"/>
  <c r="BM39" i="23183"/>
  <c r="BF63" i="23183"/>
  <c r="CP87" i="23183"/>
  <c r="Z27" i="23183"/>
  <c r="AG63" i="23183"/>
  <c r="AL51" i="23183"/>
  <c r="AA39" i="23183"/>
  <c r="AI76" i="23183"/>
  <c r="T76" i="23183"/>
  <c r="AO76" i="23183"/>
  <c r="AZ76" i="23183"/>
  <c r="AV76" i="23183"/>
  <c r="J76" i="23183"/>
  <c r="AP76" i="23183"/>
  <c r="S76" i="23183"/>
  <c r="AT76" i="23183"/>
  <c r="M76" i="23183"/>
  <c r="BC76" i="23183"/>
  <c r="AR76" i="23183"/>
  <c r="AU76" i="23183"/>
  <c r="K76" i="23183"/>
  <c r="F76" i="23183"/>
  <c r="Z76" i="23183"/>
  <c r="AJ76" i="23183"/>
  <c r="AD76" i="23183"/>
  <c r="AW76" i="23183"/>
  <c r="AN76" i="23183"/>
  <c r="H76" i="23183"/>
  <c r="AX76" i="23183"/>
  <c r="BD76" i="23183"/>
  <c r="AS76" i="23183"/>
  <c r="O76" i="23183"/>
  <c r="BN76" i="23183"/>
  <c r="BI76" i="23183"/>
  <c r="AL76" i="23183"/>
  <c r="AC76" i="23183"/>
  <c r="U76" i="23183"/>
  <c r="E76" i="23183"/>
  <c r="CS76" i="23183"/>
  <c r="BM76" i="23183"/>
  <c r="AG76" i="23183"/>
  <c r="T52" i="23183"/>
  <c r="Z52" i="23183"/>
  <c r="Y52" i="23183"/>
  <c r="G52" i="23183"/>
  <c r="CJ52" i="23183"/>
  <c r="AG52" i="23183"/>
  <c r="AV52" i="23183"/>
  <c r="AA52" i="23183"/>
  <c r="X52" i="23183"/>
  <c r="S52" i="23183"/>
  <c r="AO52" i="23183"/>
  <c r="BP52" i="23183"/>
  <c r="D52" i="23183"/>
  <c r="BC52" i="23183"/>
  <c r="AM52" i="23183"/>
  <c r="AI52" i="23183"/>
  <c r="AE52" i="23183"/>
  <c r="AB52" i="23183"/>
  <c r="P52" i="23183"/>
  <c r="BN52" i="23183"/>
  <c r="AQ52" i="23183"/>
  <c r="AP52" i="23183"/>
  <c r="F52" i="23183"/>
  <c r="BE52" i="23183"/>
  <c r="AF52" i="23183"/>
  <c r="AZ52" i="23183"/>
  <c r="AS52" i="23183"/>
  <c r="AD52" i="23183"/>
  <c r="BI52" i="23183"/>
  <c r="AT52" i="23183"/>
  <c r="AJ52" i="23183"/>
  <c r="O52" i="23183"/>
  <c r="K52" i="23183"/>
  <c r="BL52" i="23183"/>
  <c r="AR52" i="23183"/>
  <c r="AU52" i="23183"/>
  <c r="C24" i="23184"/>
  <c r="AH28" i="23183"/>
  <c r="AA28" i="23183"/>
  <c r="M28" i="23183"/>
  <c r="AI28" i="23183"/>
  <c r="AG28" i="23183"/>
  <c r="C28" i="23183"/>
  <c r="O28" i="23183" s="1"/>
  <c r="Q28" i="23183" s="1"/>
  <c r="X28" i="23183"/>
  <c r="AL28" i="23183"/>
  <c r="J28" i="23183"/>
  <c r="E28" i="23183"/>
  <c r="Y28" i="23183"/>
  <c r="CF28" i="23183"/>
  <c r="B23" i="23199"/>
  <c r="E23" i="23199" s="1"/>
  <c r="D28" i="23183"/>
  <c r="AJ28" i="23183"/>
  <c r="AM28" i="23183"/>
  <c r="F28" i="23183"/>
  <c r="U28" i="23183"/>
  <c r="AS28" i="23183" s="1"/>
  <c r="AY28" i="23183" s="1"/>
  <c r="S28" i="23183"/>
  <c r="AN28" i="23183"/>
  <c r="BO28" i="23183"/>
  <c r="AE28" i="23183"/>
  <c r="AK28" i="23183"/>
  <c r="R28" i="23183"/>
  <c r="BI28" i="23183"/>
  <c r="T28" i="23183"/>
  <c r="AX28" i="23183"/>
  <c r="AP28" i="23183"/>
  <c r="H28" i="23183"/>
  <c r="BK28" i="23183"/>
  <c r="AS107" i="23184"/>
  <c r="AJ107" i="23184"/>
  <c r="V107" i="23184"/>
  <c r="AE107" i="23184"/>
  <c r="AI107" i="23184"/>
  <c r="G107" i="23184"/>
  <c r="AO107" i="23184"/>
  <c r="J107" i="23184"/>
  <c r="Z107" i="23184"/>
  <c r="G28" i="23183"/>
  <c r="K40" i="23183"/>
  <c r="G64" i="23183"/>
  <c r="AW28" i="23183"/>
  <c r="AY40" i="23183"/>
  <c r="AY52" i="23183"/>
  <c r="V76" i="23183"/>
  <c r="Y18" i="23183"/>
  <c r="BC40" i="23183"/>
  <c r="I107" i="23184"/>
  <c r="AP40" i="23183"/>
  <c r="Y40" i="23183"/>
  <c r="X76" i="23183"/>
  <c r="BM52" i="23183"/>
  <c r="M52" i="23183"/>
  <c r="AL52" i="23183"/>
  <c r="BG52" i="23183"/>
  <c r="AE61" i="23183"/>
  <c r="AC61" i="23183"/>
  <c r="I18" i="23183"/>
  <c r="L52" i="23183"/>
  <c r="I52" i="23183"/>
  <c r="AR28" i="23183"/>
  <c r="AO40" i="23183"/>
  <c r="AX52" i="23183"/>
  <c r="L76" i="23183"/>
  <c r="AH52" i="23183"/>
  <c r="BN40" i="23183"/>
  <c r="BG64" i="23183"/>
  <c r="P119" i="23184"/>
  <c r="R119" i="23184"/>
  <c r="BC65" i="23183"/>
  <c r="F65" i="23183"/>
  <c r="AX65" i="23183"/>
  <c r="AE65" i="23183"/>
  <c r="BA41" i="23183"/>
  <c r="BM41" i="23183"/>
  <c r="AT41" i="23183"/>
  <c r="AM108" i="23184"/>
  <c r="AI108" i="23184"/>
  <c r="E108" i="23184"/>
  <c r="AC108" i="23184"/>
  <c r="Z108" i="23184"/>
  <c r="AA108" i="23184"/>
  <c r="P108" i="23184"/>
  <c r="AY76" i="23183"/>
  <c r="R107" i="23184"/>
  <c r="H52" i="23183"/>
  <c r="C76" i="23183"/>
  <c r="AX40" i="23183"/>
  <c r="BO64" i="23183"/>
  <c r="AN119" i="23184"/>
  <c r="O77" i="23183"/>
  <c r="M77" i="23183"/>
  <c r="AA18" i="23183"/>
  <c r="N18" i="23183"/>
  <c r="CI18" i="23183"/>
  <c r="BF18" i="23183"/>
  <c r="AE18" i="23183"/>
  <c r="L18" i="23183"/>
  <c r="BG18" i="23183"/>
  <c r="R18" i="23183"/>
  <c r="K18" i="23183"/>
  <c r="AR18" i="23183"/>
  <c r="BH18" i="23183"/>
  <c r="U18" i="23183"/>
  <c r="J18" i="23183"/>
  <c r="CE18" i="23183"/>
  <c r="H18" i="23183"/>
  <c r="AC18" i="23183"/>
  <c r="AK18" i="23183"/>
  <c r="G18" i="23183"/>
  <c r="BM18" i="23183"/>
  <c r="AJ18" i="23183"/>
  <c r="AW18" i="23183"/>
  <c r="E18" i="23183"/>
  <c r="Z18" i="23183"/>
  <c r="S18" i="23183"/>
  <c r="AV18" i="23183"/>
  <c r="G76" i="23183"/>
  <c r="V28" i="23183"/>
  <c r="I40" i="23183"/>
  <c r="J52" i="23183"/>
  <c r="Q64" i="23183"/>
  <c r="AF28" i="23183"/>
  <c r="AU28" i="23183" s="1"/>
  <c r="BA28" i="23183" s="1"/>
  <c r="AW52" i="23183"/>
  <c r="AX18" i="23183"/>
  <c r="AQ28" i="23183"/>
  <c r="AU40" i="23183"/>
  <c r="BA52" i="23183"/>
  <c r="X41" i="23183"/>
  <c r="AI64" i="23183"/>
  <c r="AE76" i="23183"/>
  <c r="BC64" i="23183"/>
  <c r="CC52" i="23183"/>
  <c r="CD53" i="23183"/>
  <c r="M53" i="23183"/>
  <c r="N52" i="23183"/>
  <c r="W28" i="23183"/>
  <c r="B118" i="23184"/>
  <c r="BJ25" i="23183"/>
  <c r="E25" i="23183"/>
  <c r="H25" i="23183"/>
  <c r="AW25" i="23183"/>
  <c r="M25" i="23183"/>
  <c r="AE25" i="23183"/>
  <c r="Z25" i="23183"/>
  <c r="C52" i="23183"/>
  <c r="M18" i="23183"/>
  <c r="AI18" i="23183"/>
  <c r="D29" i="23183"/>
  <c r="C18" i="23183"/>
  <c r="D76" i="23183"/>
  <c r="I76" i="23183"/>
  <c r="Q76" i="23183"/>
  <c r="AV28" i="23183"/>
  <c r="AN40" i="23183"/>
  <c r="AT40" i="23183"/>
  <c r="AY64" i="23183"/>
  <c r="BF76" i="23183"/>
  <c r="M119" i="23184"/>
  <c r="BJ18" i="23183"/>
  <c r="BV76" i="23183"/>
  <c r="W18" i="23183"/>
  <c r="N28" i="23183"/>
  <c r="P18" i="23183"/>
  <c r="P28" i="23183"/>
  <c r="AB28" i="23183"/>
  <c r="AK40" i="23183"/>
  <c r="AM18" i="23183"/>
  <c r="BE18" i="23183"/>
  <c r="AB119" i="23184"/>
  <c r="BT76" i="23183"/>
  <c r="BQ64" i="23183"/>
  <c r="BP64" i="23183"/>
  <c r="AH64" i="23183"/>
  <c r="M64" i="23183"/>
  <c r="BI64" i="23183"/>
  <c r="AL64" i="23183"/>
  <c r="AJ64" i="23183"/>
  <c r="AE64" i="23183"/>
  <c r="AZ64" i="23183"/>
  <c r="AV64" i="23183"/>
  <c r="E64" i="23183"/>
  <c r="AM64" i="23183"/>
  <c r="B59" i="23200"/>
  <c r="BL64" i="23183"/>
  <c r="AN64" i="23183"/>
  <c r="T64" i="23183"/>
  <c r="S64" i="23183"/>
  <c r="BA64" i="23183"/>
  <c r="Y64" i="23183"/>
  <c r="I64" i="23183"/>
  <c r="AT64" i="23183"/>
  <c r="AK64" i="23183"/>
  <c r="F64" i="23183"/>
  <c r="AU64" i="23183"/>
  <c r="N64" i="23183"/>
  <c r="H64" i="23183"/>
  <c r="W64" i="23183"/>
  <c r="AW64" i="23183"/>
  <c r="K64" i="23183"/>
  <c r="L64" i="23183"/>
  <c r="AQ64" i="23183"/>
  <c r="R64" i="23183"/>
  <c r="AS64" i="23183"/>
  <c r="P64" i="23183"/>
  <c r="J64" i="23183"/>
  <c r="U64" i="23183"/>
  <c r="BP40" i="23183"/>
  <c r="AW40" i="23183"/>
  <c r="S40" i="23183"/>
  <c r="U40" i="23183"/>
  <c r="H40" i="23183"/>
  <c r="BJ40" i="23183"/>
  <c r="Z40" i="23183"/>
  <c r="AQ40" i="23183"/>
  <c r="AV40" i="23183"/>
  <c r="L40" i="23183"/>
  <c r="BY40" i="23183"/>
  <c r="BK40" i="23183"/>
  <c r="AL40" i="23183"/>
  <c r="AS40" i="23183"/>
  <c r="X40" i="23183"/>
  <c r="M40" i="23183"/>
  <c r="AR40" i="23183"/>
  <c r="AM40" i="23183"/>
  <c r="BL40" i="23183"/>
  <c r="W40" i="23183"/>
  <c r="AA40" i="23183"/>
  <c r="AB40" i="23183"/>
  <c r="N40" i="23183"/>
  <c r="E40" i="23183"/>
  <c r="AF40" i="23183"/>
  <c r="AC40" i="23183"/>
  <c r="AG40" i="23183"/>
  <c r="J40" i="23183"/>
  <c r="Q40" i="23183"/>
  <c r="G40" i="23183"/>
  <c r="AZ40" i="23183"/>
  <c r="R40" i="23183"/>
  <c r="AI40" i="23183"/>
  <c r="P40" i="23183"/>
  <c r="D18" i="23183"/>
  <c r="T40" i="23183"/>
  <c r="AG64" i="23183"/>
  <c r="AF64" i="23183"/>
  <c r="D40" i="23183"/>
  <c r="V52" i="23183"/>
  <c r="AD40" i="23183"/>
  <c r="BA76" i="23183"/>
  <c r="N76" i="23183"/>
  <c r="L28" i="23183"/>
  <c r="E52" i="23183"/>
  <c r="AD28" i="23183"/>
  <c r="O40" i="23183"/>
  <c r="U52" i="23183"/>
  <c r="BM28" i="23183"/>
  <c r="BG53" i="23183"/>
  <c r="S23" i="23184"/>
  <c r="AI23" i="23184"/>
  <c r="AI79" i="23183"/>
  <c r="AP79" i="23183"/>
  <c r="R67" i="23183"/>
  <c r="E67" i="23183"/>
  <c r="AQ67" i="23183"/>
  <c r="I67" i="23183"/>
  <c r="BK67" i="23183"/>
  <c r="BH43" i="23183"/>
  <c r="AS43" i="23183"/>
  <c r="BE43" i="23183"/>
  <c r="BN31" i="23183"/>
  <c r="AZ31" i="23183"/>
  <c r="BA31" i="23183"/>
  <c r="J31" i="23183"/>
  <c r="Q98" i="23184"/>
  <c r="AN98" i="23184"/>
  <c r="AH98" i="23184"/>
  <c r="AE98" i="23184"/>
  <c r="M98" i="23184"/>
  <c r="R98" i="23184"/>
  <c r="P86" i="23184"/>
  <c r="AE86" i="23184"/>
  <c r="AG86" i="23184"/>
  <c r="AD86" i="23184"/>
  <c r="K28" i="23183"/>
  <c r="F18" i="23183"/>
  <c r="O18" i="23183" s="1"/>
  <c r="Q18" i="23183" s="1"/>
  <c r="D64" i="23183"/>
  <c r="Q52" i="23183"/>
  <c r="AC64" i="23183"/>
  <c r="Z28" i="23183"/>
  <c r="AJ40" i="23183"/>
  <c r="AN52" i="23183"/>
  <c r="AX64" i="23183"/>
  <c r="AD25" i="23183"/>
  <c r="U53" i="23183"/>
  <c r="T18" i="23183"/>
  <c r="BL28" i="23183"/>
  <c r="J108" i="23184"/>
  <c r="CA18" i="23183"/>
  <c r="AG119" i="23184"/>
  <c r="I119" i="23184"/>
  <c r="AE119" i="23184"/>
  <c r="V119" i="23184"/>
  <c r="AI119" i="23184"/>
  <c r="J51" i="23183"/>
  <c r="H27" i="23183"/>
  <c r="Q39" i="23183"/>
  <c r="O51" i="23183"/>
  <c r="N44" i="23183"/>
  <c r="D80" i="23183"/>
  <c r="J80" i="23183"/>
  <c r="E59" i="23183"/>
  <c r="Q63" i="23183"/>
  <c r="I75" i="23183"/>
  <c r="N84" i="23183"/>
  <c r="AF68" i="23183"/>
  <c r="AX87" i="23183"/>
  <c r="AH39" i="23183"/>
  <c r="G39" i="23183"/>
  <c r="AQ32" i="23183"/>
  <c r="AX56" i="23183"/>
  <c r="AU75" i="23183"/>
  <c r="AJ27" i="23183"/>
  <c r="AH27" i="23183"/>
  <c r="AW63" i="23183"/>
  <c r="R63" i="23183"/>
  <c r="S75" i="23183"/>
  <c r="X87" i="23183"/>
  <c r="T51" i="23183"/>
  <c r="BH51" i="23183"/>
  <c r="BO87" i="23183"/>
  <c r="BH27" i="23183"/>
  <c r="CW63" i="23183"/>
  <c r="M39" i="23183"/>
  <c r="F27" i="23183"/>
  <c r="P39" i="23183"/>
  <c r="N51" i="23183"/>
  <c r="G35" i="23183"/>
  <c r="L83" i="23183"/>
  <c r="L87" i="23183"/>
  <c r="D63" i="23183"/>
  <c r="H87" i="23183"/>
  <c r="AM75" i="23183"/>
  <c r="AV87" i="23183"/>
  <c r="AR39" i="23183"/>
  <c r="AP47" i="23183"/>
  <c r="AC75" i="23183"/>
  <c r="D75" i="23183"/>
  <c r="X27" i="23183"/>
  <c r="AB27" i="23183"/>
  <c r="J63" i="23183"/>
  <c r="AH87" i="23183"/>
  <c r="AM63" i="23183"/>
  <c r="BA51" i="23183"/>
  <c r="BN39" i="23183"/>
  <c r="BF51" i="23183"/>
  <c r="G94" i="23184"/>
  <c r="C35" i="23184"/>
  <c r="O35" i="23184" s="1"/>
  <c r="CM63" i="23183"/>
  <c r="F75" i="23183"/>
  <c r="I87" i="23183"/>
  <c r="AU87" i="23183"/>
  <c r="AQ75" i="23183"/>
  <c r="V75" i="23183"/>
  <c r="AZ51" i="23183"/>
  <c r="B58" i="23200"/>
  <c r="BX27" i="23183"/>
  <c r="C57" i="23193"/>
  <c r="I63" i="23183"/>
  <c r="D27" i="23183"/>
  <c r="O27" i="23183" s="1"/>
  <c r="Q27" i="23183" s="1"/>
  <c r="O39" i="23183"/>
  <c r="O63" i="23183"/>
  <c r="E75" i="23183"/>
  <c r="E80" i="23183"/>
  <c r="F56" i="23183"/>
  <c r="N35" i="23183"/>
  <c r="C87" i="23183"/>
  <c r="H75" i="23183"/>
  <c r="J75" i="23183"/>
  <c r="AB39" i="23183"/>
  <c r="AI39" i="23183"/>
  <c r="AQ39" i="23183"/>
  <c r="AD39" i="23183"/>
  <c r="AA63" i="23183"/>
  <c r="AP35" i="23183"/>
  <c r="AB44" i="23183"/>
  <c r="AZ68" i="23183"/>
  <c r="AA27" i="23183"/>
  <c r="V27" i="23183"/>
  <c r="R75" i="23183"/>
  <c r="T75" i="23183"/>
  <c r="AL75" i="23183"/>
  <c r="AY51" i="23183"/>
  <c r="BL39" i="23183"/>
  <c r="BI75" i="23183"/>
  <c r="BN63" i="23183"/>
  <c r="BD39" i="23183"/>
  <c r="BW39" i="23183"/>
  <c r="F87" i="23183"/>
  <c r="J87" i="23183"/>
  <c r="AC87" i="23183"/>
  <c r="F63" i="23183"/>
  <c r="C27" i="23183"/>
  <c r="C39" i="23183"/>
  <c r="C63" i="23183"/>
  <c r="G87" i="23183"/>
  <c r="H71" i="23183"/>
  <c r="P87" i="23183"/>
  <c r="K83" i="23183"/>
  <c r="W51" i="23183"/>
  <c r="AA51" i="23183"/>
  <c r="AB87" i="23183"/>
  <c r="X39" i="23183"/>
  <c r="R39" i="23183"/>
  <c r="AQ63" i="23183"/>
  <c r="AE51" i="23183"/>
  <c r="AO35" i="23183"/>
  <c r="BA80" i="23183"/>
  <c r="AV27" i="23183"/>
  <c r="S27" i="23183"/>
  <c r="AF75" i="23183"/>
  <c r="AH75" i="23183"/>
  <c r="AQ51" i="23183"/>
  <c r="AX51" i="23183"/>
  <c r="BH39" i="23183"/>
  <c r="BE75" i="23183"/>
  <c r="BK63" i="23183"/>
  <c r="I94" i="23184"/>
  <c r="BD63" i="23183"/>
  <c r="CP75" i="23183"/>
  <c r="BC75" i="23183"/>
  <c r="P75" i="23183"/>
  <c r="N27" i="23183"/>
  <c r="N39" i="23183"/>
  <c r="K63" i="23183"/>
  <c r="L63" i="23183"/>
  <c r="J83" i="23183"/>
  <c r="M87" i="23183"/>
  <c r="L39" i="23183"/>
  <c r="D87" i="23183"/>
  <c r="Z75" i="23183"/>
  <c r="AN39" i="23183"/>
  <c r="AO39" i="23183"/>
  <c r="M71" i="23183"/>
  <c r="AR27" i="23183"/>
  <c r="J27" i="23183"/>
  <c r="W87" i="23183"/>
  <c r="AB51" i="23183"/>
  <c r="AW51" i="23183"/>
  <c r="BG39" i="23183"/>
  <c r="AD75" i="23183"/>
  <c r="BG63" i="23183"/>
  <c r="CD75" i="23183"/>
  <c r="E87" i="23183"/>
  <c r="L27" i="23183"/>
  <c r="Q51" i="23183"/>
  <c r="C75" i="23183"/>
  <c r="M63" i="23183"/>
  <c r="Q32" i="23183"/>
  <c r="I68" i="23183"/>
  <c r="I47" i="23183"/>
  <c r="K87" i="23183"/>
  <c r="E63" i="23183"/>
  <c r="K75" i="23183"/>
  <c r="AO63" i="23183"/>
  <c r="AL87" i="23183"/>
  <c r="AY87" i="23183"/>
  <c r="AH60" i="23183"/>
  <c r="AK39" i="23183"/>
  <c r="BA39" i="23183"/>
  <c r="AR63" i="23183"/>
  <c r="Z44" i="23183"/>
  <c r="AY75" i="23183"/>
  <c r="AR75" i="23183"/>
  <c r="AL27" i="23183"/>
  <c r="AS63" i="23183"/>
  <c r="AF87" i="23183"/>
  <c r="Y51" i="23183"/>
  <c r="AT51" i="23183"/>
  <c r="BN51" i="23183"/>
  <c r="BJ87" i="23183"/>
  <c r="AF63" i="23183"/>
  <c r="Q103" i="23184"/>
  <c r="L94" i="23184"/>
  <c r="CM51" i="23183"/>
  <c r="E255" i="23198"/>
  <c r="F252" i="23198" s="1"/>
  <c r="K45" i="23177"/>
  <c r="L35" i="23184"/>
  <c r="O78" i="23183"/>
  <c r="G78" i="23183"/>
  <c r="AR70" i="23183"/>
  <c r="I10" i="23195"/>
  <c r="A10" i="23195" s="1"/>
  <c r="B27" i="23211"/>
  <c r="D27" i="23211" s="1"/>
  <c r="B29" i="23211"/>
  <c r="D29" i="23211" s="1"/>
  <c r="B28" i="23211"/>
  <c r="D28" i="23211" s="1"/>
  <c r="B30" i="23211"/>
  <c r="D30" i="23211" s="1"/>
  <c r="B9" i="23211"/>
  <c r="D9" i="23211" s="1"/>
  <c r="B21" i="23211"/>
  <c r="D21" i="23211" s="1"/>
  <c r="B10" i="23211"/>
  <c r="D10" i="23211" s="1"/>
  <c r="B22" i="23211"/>
  <c r="D22" i="23211" s="1"/>
  <c r="B23" i="23211"/>
  <c r="D23" i="23211" s="1"/>
  <c r="B24" i="23211"/>
  <c r="D24" i="23211" s="1"/>
  <c r="B13" i="23211"/>
  <c r="D13" i="23211" s="1"/>
  <c r="B25" i="23211"/>
  <c r="D25" i="23211" s="1"/>
  <c r="B5" i="23211"/>
  <c r="D5" i="23211" s="1"/>
  <c r="B19" i="23211"/>
  <c r="D19" i="23211" s="1"/>
  <c r="B14" i="23211"/>
  <c r="D14" i="23211" s="1"/>
  <c r="B4" i="23211"/>
  <c r="D4" i="23211" s="1"/>
  <c r="B16" i="23211"/>
  <c r="D16" i="23211" s="1"/>
  <c r="B18" i="23211"/>
  <c r="D18" i="23211" s="1"/>
  <c r="B8" i="23211"/>
  <c r="D8" i="23211" s="1"/>
  <c r="B11" i="23211"/>
  <c r="D11" i="23211" s="1"/>
  <c r="B6" i="23211"/>
  <c r="D6" i="23211" s="1"/>
  <c r="B12" i="23211"/>
  <c r="D12" i="23211" s="1"/>
  <c r="B26" i="23211"/>
  <c r="D26" i="23211" s="1"/>
  <c r="B17" i="23211"/>
  <c r="D17" i="23211" s="1"/>
  <c r="B7" i="23211"/>
  <c r="D7" i="23211" s="1"/>
  <c r="B20" i="23211"/>
  <c r="D20" i="23211" s="1"/>
  <c r="B15" i="23211"/>
  <c r="D15" i="23211" s="1"/>
  <c r="P30" i="23183"/>
  <c r="M21" i="23183"/>
  <c r="D58" i="23183"/>
  <c r="J42" i="23183"/>
  <c r="C25" i="23183"/>
  <c r="O25" i="23183" s="1"/>
  <c r="Q25" i="23183" s="1"/>
  <c r="E54" i="23183"/>
  <c r="M42" i="23183"/>
  <c r="AD42" i="23183"/>
  <c r="BA43" i="23183"/>
  <c r="AH42" i="23183"/>
  <c r="AQ42" i="23183"/>
  <c r="AA25" i="23183"/>
  <c r="AS30" i="23183"/>
  <c r="Z54" i="23183"/>
  <c r="X32" i="23183"/>
  <c r="AV56" i="23183"/>
  <c r="AS69" i="23183"/>
  <c r="AJ24" i="23183"/>
  <c r="AK78" i="23183"/>
  <c r="BN54" i="23183"/>
  <c r="G108" i="23184"/>
  <c r="AD108" i="23184"/>
  <c r="AC97" i="23184"/>
  <c r="V86" i="23184"/>
  <c r="T96" i="23184"/>
  <c r="CY42" i="23183"/>
  <c r="M78" i="23183"/>
  <c r="I77" i="23183"/>
  <c r="L22" i="23183"/>
  <c r="O42" i="23183"/>
  <c r="F54" i="23183"/>
  <c r="AB21" i="23183"/>
  <c r="AC54" i="23183"/>
  <c r="AT33" i="23183"/>
  <c r="Y57" i="23183"/>
  <c r="I34" i="23193"/>
  <c r="J35" i="23184"/>
  <c r="B22" i="23184"/>
  <c r="M31" i="23183"/>
  <c r="N32" i="23183"/>
  <c r="K56" i="23183"/>
  <c r="M30" i="23183"/>
  <c r="N21" i="23183"/>
  <c r="O65" i="23183"/>
  <c r="I42" i="23183"/>
  <c r="N25" i="23183"/>
  <c r="N54" i="23183"/>
  <c r="E53" i="23183"/>
  <c r="AT55" i="23183"/>
  <c r="AR44" i="23183"/>
  <c r="X29" i="23183"/>
  <c r="S42" i="23183"/>
  <c r="W25" i="23183"/>
  <c r="X30" i="23183"/>
  <c r="Y54" i="23183"/>
  <c r="T78" i="23183"/>
  <c r="AU32" i="23183"/>
  <c r="Z56" i="23183"/>
  <c r="AK75" i="23183"/>
  <c r="AE63" i="23183"/>
  <c r="AP27" i="23183"/>
  <c r="AF27" i="23183"/>
  <c r="Y63" i="23183"/>
  <c r="V87" i="23183"/>
  <c r="AI75" i="23183"/>
  <c r="X51" i="23183"/>
  <c r="AU51" i="23183"/>
  <c r="AK79" i="23183"/>
  <c r="BK39" i="23183"/>
  <c r="BE51" i="23183"/>
  <c r="BC67" i="23183"/>
  <c r="BE63" i="23183"/>
  <c r="BH25" i="23183"/>
  <c r="Y108" i="23184"/>
  <c r="AH109" i="23184"/>
  <c r="Z86" i="23184"/>
  <c r="AG94" i="23184"/>
  <c r="B24" i="23199"/>
  <c r="T108" i="23184"/>
  <c r="CU27" i="23183"/>
  <c r="N35" i="23184"/>
  <c r="J30" i="23183"/>
  <c r="Q78" i="23183"/>
  <c r="D42" i="23183"/>
  <c r="T30" i="23183"/>
  <c r="AX54" i="23183"/>
  <c r="AF66" i="23183"/>
  <c r="I108" i="23184"/>
  <c r="V108" i="23184"/>
  <c r="S108" i="23184"/>
  <c r="E78" i="23183"/>
  <c r="P66" i="23183"/>
  <c r="L30" i="23183"/>
  <c r="P69" i="23183"/>
  <c r="K66" i="23183"/>
  <c r="Z53" i="23183"/>
  <c r="P54" i="23183"/>
  <c r="BP57" i="23183"/>
  <c r="BP78" i="23183"/>
  <c r="B107" i="23184"/>
  <c r="X108" i="23184"/>
  <c r="AK108" i="23184"/>
  <c r="S54" i="23183"/>
  <c r="AQ21" i="23183"/>
  <c r="AQ66" i="23183"/>
  <c r="AR29" i="23183"/>
  <c r="AL42" i="23183"/>
  <c r="L29" i="23183"/>
  <c r="C42" i="23183"/>
  <c r="AE66" i="23183"/>
  <c r="AG54" i="23183"/>
  <c r="AQ29" i="23183"/>
  <c r="Y42" i="23183"/>
  <c r="AJ30" i="23183"/>
  <c r="O121" i="23184"/>
  <c r="R108" i="23184"/>
  <c r="U23" i="23184"/>
  <c r="AG23" i="23184"/>
  <c r="Q43" i="23183"/>
  <c r="F44" i="23183"/>
  <c r="D68" i="23183"/>
  <c r="K30" i="23183"/>
  <c r="I69" i="23183"/>
  <c r="H42" i="23183"/>
  <c r="G25" i="23183"/>
  <c r="J66" i="23183"/>
  <c r="F67" i="23183"/>
  <c r="AB54" i="23183"/>
  <c r="AC78" i="23183"/>
  <c r="AB66" i="23183"/>
  <c r="AO41" i="23183"/>
  <c r="X42" i="23183"/>
  <c r="S25" i="23183"/>
  <c r="AA30" i="23183"/>
  <c r="AS78" i="23183"/>
  <c r="AP87" i="23183"/>
  <c r="Y44" i="23183"/>
  <c r="Y68" i="23183"/>
  <c r="AS75" i="23183"/>
  <c r="Y65" i="23183"/>
  <c r="AD27" i="23183"/>
  <c r="AZ63" i="23183"/>
  <c r="T87" i="23183"/>
  <c r="T63" i="23183"/>
  <c r="V63" i="23183"/>
  <c r="BF39" i="23183"/>
  <c r="BI32" i="23183"/>
  <c r="BL78" i="23183"/>
  <c r="BH66" i="23183"/>
  <c r="E98" i="23184"/>
  <c r="AJ108" i="23184"/>
  <c r="AH121" i="23184"/>
  <c r="AC86" i="23184"/>
  <c r="AD111" i="23184"/>
  <c r="AL108" i="23184"/>
  <c r="AK98" i="23184"/>
  <c r="N78" i="23183"/>
  <c r="O30" i="23183"/>
  <c r="C54" i="23183"/>
  <c r="O54" i="23183"/>
  <c r="C78" i="23183"/>
  <c r="AZ66" i="23183"/>
  <c r="AQ53" i="23183"/>
  <c r="AY42" i="23183"/>
  <c r="AX30" i="23183"/>
  <c r="AZ70" i="23183"/>
  <c r="BJ42" i="23183"/>
  <c r="BF77" i="23183"/>
  <c r="AF108" i="23184"/>
  <c r="V103" i="23184"/>
  <c r="M108" i="23184"/>
  <c r="AO108" i="23184"/>
  <c r="CD69" i="23183"/>
  <c r="C30" i="23183"/>
  <c r="L54" i="23183"/>
  <c r="L78" i="23183"/>
  <c r="L66" i="23183"/>
  <c r="AD78" i="23183"/>
  <c r="AW53" i="23183"/>
  <c r="L42" i="23183"/>
  <c r="AL30" i="23183"/>
  <c r="T77" i="23183"/>
  <c r="BO30" i="23183"/>
  <c r="F108" i="23184"/>
  <c r="AG108" i="23184"/>
  <c r="N108" i="23184"/>
  <c r="J54" i="23183"/>
  <c r="G54" i="23183"/>
  <c r="H78" i="23183"/>
  <c r="H81" i="23183"/>
  <c r="AE108" i="23184"/>
  <c r="O97" i="23184"/>
  <c r="N92" i="23184"/>
  <c r="AM97" i="23184"/>
  <c r="AN108" i="23184"/>
  <c r="CY41" i="23183"/>
  <c r="T82" i="23183"/>
  <c r="J82" i="23183"/>
  <c r="Z83" i="23183"/>
  <c r="AI47" i="23183"/>
  <c r="W82" i="23183"/>
  <c r="AX82" i="23183"/>
  <c r="G85" i="23183"/>
  <c r="J85" i="23183"/>
  <c r="K85" i="23183"/>
  <c r="AX85" i="23183"/>
  <c r="CC85" i="23183"/>
  <c r="G61" i="23183"/>
  <c r="AD61" i="23183"/>
  <c r="M49" i="23183"/>
  <c r="AR49" i="23183"/>
  <c r="BA49" i="23183"/>
  <c r="W49" i="23183"/>
  <c r="AK37" i="23183"/>
  <c r="CQ37" i="23183"/>
  <c r="AC37" i="23183"/>
  <c r="CP25" i="23183"/>
  <c r="AN25" i="23183"/>
  <c r="V25" i="23183"/>
  <c r="AM25" i="23183"/>
  <c r="B20" i="23200"/>
  <c r="B20" i="23201"/>
  <c r="E20" i="23201" s="1"/>
  <c r="BM25" i="23183"/>
  <c r="AX25" i="23183"/>
  <c r="AH25" i="23183"/>
  <c r="AP25" i="23183"/>
  <c r="BD25" i="23183"/>
  <c r="AF25" i="23183"/>
  <c r="AJ25" i="23183"/>
  <c r="I25" i="23183"/>
  <c r="AR25" i="23183"/>
  <c r="AV25" i="23183"/>
  <c r="J25" i="23183"/>
  <c r="CV25" i="23183"/>
  <c r="BC25" i="23183"/>
  <c r="AG25" i="23183"/>
  <c r="AK25" i="23183"/>
  <c r="L25" i="23183"/>
  <c r="AB25" i="23183"/>
  <c r="AL25" i="23183"/>
  <c r="BG25" i="23183"/>
  <c r="BE25" i="23183"/>
  <c r="T25" i="23183"/>
  <c r="AI25" i="23183"/>
  <c r="P116" i="23184"/>
  <c r="X116" i="23184"/>
  <c r="H104" i="23184"/>
  <c r="AC104" i="23184"/>
  <c r="U104" i="23184"/>
  <c r="G104" i="23184"/>
  <c r="G70" i="23183"/>
  <c r="AX70" i="23183"/>
  <c r="BN70" i="23183"/>
  <c r="Q70" i="23183"/>
  <c r="E35" i="23183"/>
  <c r="I59" i="23183"/>
  <c r="J7" i="23195"/>
  <c r="C9" i="23208" s="1"/>
  <c r="P35" i="23184"/>
  <c r="D32" i="23183"/>
  <c r="M44" i="23183"/>
  <c r="H56" i="23183"/>
  <c r="P80" i="23183"/>
  <c r="E30" i="23183"/>
  <c r="M47" i="23183"/>
  <c r="F83" i="23183"/>
  <c r="D35" i="23183"/>
  <c r="P42" i="23183"/>
  <c r="K25" i="23183"/>
  <c r="Q54" i="23183"/>
  <c r="J78" i="23183"/>
  <c r="AN44" i="23183"/>
  <c r="AL66" i="23183"/>
  <c r="S66" i="23183"/>
  <c r="AP78" i="23183"/>
  <c r="AJ42" i="23183"/>
  <c r="X25" i="23183"/>
  <c r="AC25" i="23183"/>
  <c r="U30" i="23183"/>
  <c r="Y30" i="23183"/>
  <c r="AN56" i="23183"/>
  <c r="AM80" i="23183"/>
  <c r="U32" i="23183"/>
  <c r="S44" i="23183"/>
  <c r="AS56" i="23183"/>
  <c r="AS80" i="23183"/>
  <c r="E82" i="23183"/>
  <c r="AD22" i="23183"/>
  <c r="BN68" i="23183"/>
  <c r="BH85" i="23183"/>
  <c r="O111" i="23184"/>
  <c r="AM83" i="23183"/>
  <c r="N83" i="23183"/>
  <c r="AR83" i="23183"/>
  <c r="W83" i="23183"/>
  <c r="V83" i="23183"/>
  <c r="AY83" i="23183"/>
  <c r="C67" i="23184"/>
  <c r="AE67" i="23184" s="1"/>
  <c r="AF71" i="23183"/>
  <c r="BP71" i="23183"/>
  <c r="AU71" i="23183"/>
  <c r="Y71" i="23183"/>
  <c r="AF59" i="23183"/>
  <c r="U59" i="23183"/>
  <c r="AJ59" i="23183"/>
  <c r="D59" i="23183"/>
  <c r="AT59" i="23183"/>
  <c r="N59" i="23183"/>
  <c r="AV59" i="23183"/>
  <c r="O59" i="23183"/>
  <c r="AO59" i="23183"/>
  <c r="AH59" i="23183"/>
  <c r="Y47" i="23183"/>
  <c r="AE47" i="23183"/>
  <c r="AC47" i="23183"/>
  <c r="B42" i="23201"/>
  <c r="AN47" i="23183"/>
  <c r="AO47" i="23183"/>
  <c r="J47" i="23183"/>
  <c r="AQ47" i="23183"/>
  <c r="AS47" i="23183"/>
  <c r="O47" i="23183"/>
  <c r="BC47" i="23183"/>
  <c r="AG47" i="23183"/>
  <c r="AK47" i="23183"/>
  <c r="BA47" i="23183"/>
  <c r="AM35" i="23183"/>
  <c r="AG35" i="23183"/>
  <c r="AW35" i="23183"/>
  <c r="M35" i="23183"/>
  <c r="AE35" i="23183"/>
  <c r="C35" i="23183"/>
  <c r="BG35" i="23183"/>
  <c r="AT35" i="23183"/>
  <c r="AF35" i="23183"/>
  <c r="O35" i="23183"/>
  <c r="Z35" i="23183"/>
  <c r="P35" i="23183"/>
  <c r="V35" i="23183"/>
  <c r="AB35" i="23183"/>
  <c r="AR35" i="23183"/>
  <c r="BE23" i="23183"/>
  <c r="BG23" i="23183"/>
  <c r="AN23" i="23183"/>
  <c r="AQ23" i="23183"/>
  <c r="AA23" i="23183"/>
  <c r="P23" i="23183"/>
  <c r="AM23" i="23183"/>
  <c r="AB23" i="23183"/>
  <c r="C23" i="23183"/>
  <c r="AD23" i="23183"/>
  <c r="AO23" i="23183"/>
  <c r="AV23" i="23183"/>
  <c r="H102" i="23184"/>
  <c r="Y102" i="23184"/>
  <c r="AO34" i="23183"/>
  <c r="R34" i="23183"/>
  <c r="AH34" i="23183"/>
  <c r="AQ34" i="23183"/>
  <c r="C34" i="23183"/>
  <c r="AX34" i="23183"/>
  <c r="AN34" i="23183"/>
  <c r="BE82" i="23183"/>
  <c r="BC82" i="23183"/>
  <c r="R82" i="23183"/>
  <c r="BD82" i="23183"/>
  <c r="BL82" i="23183"/>
  <c r="AR82" i="23183"/>
  <c r="AP82" i="23183"/>
  <c r="AZ82" i="23183"/>
  <c r="W70" i="23183"/>
  <c r="S70" i="23183"/>
  <c r="AG70" i="23183"/>
  <c r="AQ70" i="23183"/>
  <c r="AO70" i="23183"/>
  <c r="AK70" i="23183"/>
  <c r="M70" i="23183"/>
  <c r="BI70" i="23183"/>
  <c r="AH70" i="23183"/>
  <c r="CH22" i="23183"/>
  <c r="AO22" i="23183"/>
  <c r="CP22" i="23183"/>
  <c r="AI22" i="23183"/>
  <c r="X22" i="23183"/>
  <c r="C56" i="23193"/>
  <c r="M32" i="23183"/>
  <c r="H44" i="23183"/>
  <c r="H47" i="23183"/>
  <c r="N22" i="23183"/>
  <c r="Q71" i="23183"/>
  <c r="C59" i="23183"/>
  <c r="F25" i="23183"/>
  <c r="I82" i="23183"/>
  <c r="AE71" i="23183"/>
  <c r="AU66" i="23183"/>
  <c r="AB83" i="23183"/>
  <c r="AG42" i="23183"/>
  <c r="Y25" i="23183"/>
  <c r="AA59" i="23183"/>
  <c r="AI30" i="23183"/>
  <c r="AS54" i="23183"/>
  <c r="R23" i="23183"/>
  <c r="AT47" i="23183"/>
  <c r="Y35" i="23183"/>
  <c r="AK34" i="23183"/>
  <c r="U54" i="23183"/>
  <c r="BK25" i="23183"/>
  <c r="BJ66" i="23183"/>
  <c r="J97" i="23184"/>
  <c r="L114" i="23184"/>
  <c r="I34" i="23183"/>
  <c r="S59" i="23183"/>
  <c r="BA35" i="23183"/>
  <c r="AI34" i="23183"/>
  <c r="BL25" i="23183"/>
  <c r="AG116" i="23184"/>
  <c r="BL80" i="23183"/>
  <c r="AY80" i="23183"/>
  <c r="AO80" i="23183"/>
  <c r="AV80" i="23183"/>
  <c r="AJ80" i="23183"/>
  <c r="AW80" i="23183"/>
  <c r="W80" i="23183"/>
  <c r="AX80" i="23183"/>
  <c r="K80" i="23183"/>
  <c r="AB80" i="23183"/>
  <c r="AH80" i="23183"/>
  <c r="C80" i="23183"/>
  <c r="AL80" i="23183"/>
  <c r="I80" i="23183"/>
  <c r="AT80" i="23183"/>
  <c r="AA80" i="23183"/>
  <c r="BI68" i="23183"/>
  <c r="AG68" i="23183"/>
  <c r="S68" i="23183"/>
  <c r="V68" i="23183"/>
  <c r="AM68" i="23183"/>
  <c r="AL68" i="23183"/>
  <c r="U68" i="23183"/>
  <c r="T68" i="23183"/>
  <c r="C68" i="23183"/>
  <c r="AH68" i="23183"/>
  <c r="AJ68" i="23183"/>
  <c r="AI68" i="23183"/>
  <c r="N68" i="23183"/>
  <c r="E68" i="23183"/>
  <c r="Q68" i="23183"/>
  <c r="K68" i="23183"/>
  <c r="AK68" i="23183"/>
  <c r="F68" i="23183"/>
  <c r="BC68" i="23183"/>
  <c r="BA68" i="23183"/>
  <c r="BH68" i="23183"/>
  <c r="Z68" i="23183"/>
  <c r="AW68" i="23183"/>
  <c r="AA68" i="23183"/>
  <c r="AS68" i="23183"/>
  <c r="BL56" i="23183"/>
  <c r="AL56" i="23183"/>
  <c r="AH56" i="23183"/>
  <c r="S56" i="23183"/>
  <c r="U56" i="23183"/>
  <c r="AQ56" i="23183"/>
  <c r="AO56" i="23183"/>
  <c r="Q56" i="23183"/>
  <c r="AY56" i="23183"/>
  <c r="C56" i="23183"/>
  <c r="AA56" i="23183"/>
  <c r="Y56" i="23183"/>
  <c r="AR56" i="23183"/>
  <c r="E56" i="23183"/>
  <c r="BG56" i="23183"/>
  <c r="AZ56" i="23183"/>
  <c r="AD56" i="23183"/>
  <c r="AW56" i="23183"/>
  <c r="T56" i="23183"/>
  <c r="AB56" i="23183"/>
  <c r="AE56" i="23183"/>
  <c r="AK56" i="23183"/>
  <c r="AL44" i="23183"/>
  <c r="AY44" i="23183"/>
  <c r="V44" i="23183"/>
  <c r="AS44" i="23183"/>
  <c r="W44" i="23183"/>
  <c r="AZ44" i="23183"/>
  <c r="AD44" i="23183"/>
  <c r="P44" i="23183"/>
  <c r="J44" i="23183"/>
  <c r="E44" i="23183"/>
  <c r="BA44" i="23183"/>
  <c r="AP44" i="23183"/>
  <c r="AV44" i="23183"/>
  <c r="O44" i="23183"/>
  <c r="D44" i="23183"/>
  <c r="AU44" i="23183"/>
  <c r="AE44" i="23183"/>
  <c r="C44" i="23183"/>
  <c r="BF44" i="23183"/>
  <c r="AX44" i="23183"/>
  <c r="X44" i="23183"/>
  <c r="AM44" i="23183"/>
  <c r="AF44" i="23183"/>
  <c r="R44" i="23183"/>
  <c r="AI44" i="23183"/>
  <c r="BN32" i="23183"/>
  <c r="AF32" i="23183"/>
  <c r="AC32" i="23183"/>
  <c r="AE32" i="23183"/>
  <c r="AR32" i="23183"/>
  <c r="S32" i="23183"/>
  <c r="AK32" i="23183"/>
  <c r="R32" i="23183"/>
  <c r="AZ32" i="23183"/>
  <c r="AX32" i="23183"/>
  <c r="Y32" i="23183"/>
  <c r="C32" i="23183"/>
  <c r="BA32" i="23183"/>
  <c r="AN32" i="23183"/>
  <c r="AG32" i="23183"/>
  <c r="E32" i="23183"/>
  <c r="AT32" i="23183"/>
  <c r="AO32" i="23183"/>
  <c r="AP32" i="23183"/>
  <c r="F32" i="23183"/>
  <c r="AH32" i="23183"/>
  <c r="Z32" i="23183"/>
  <c r="AI32" i="23183"/>
  <c r="AA32" i="23183"/>
  <c r="AW32" i="23183"/>
  <c r="AL32" i="23183"/>
  <c r="CG20" i="23183"/>
  <c r="R20" i="23183"/>
  <c r="AV20" i="23183"/>
  <c r="AE111" i="23184"/>
  <c r="I111" i="23184"/>
  <c r="AA111" i="23184"/>
  <c r="AJ111" i="23184"/>
  <c r="Y87" i="23184"/>
  <c r="AG87" i="23184"/>
  <c r="AO87" i="23184"/>
  <c r="AJ23" i="23183"/>
  <c r="AB22" i="23183"/>
  <c r="K32" i="23183"/>
  <c r="J56" i="23183"/>
  <c r="L68" i="23183"/>
  <c r="E47" i="23183"/>
  <c r="K34" i="23183"/>
  <c r="E23" i="23183"/>
  <c r="O71" i="23183"/>
  <c r="M80" i="23183"/>
  <c r="J23" i="23183"/>
  <c r="AF56" i="23183"/>
  <c r="AJ56" i="23183"/>
  <c r="AE42" i="23183"/>
  <c r="R25" i="23183"/>
  <c r="AT30" i="23183"/>
  <c r="AV54" i="23183"/>
  <c r="AE23" i="23183"/>
  <c r="AR59" i="23183"/>
  <c r="AU35" i="23183"/>
  <c r="W68" i="23183"/>
  <c r="AV32" i="23183"/>
  <c r="V32" i="23183"/>
  <c r="AW44" i="23183"/>
  <c r="G56" i="23183"/>
  <c r="BO25" i="23183"/>
  <c r="AK92" i="23184"/>
  <c r="W46" i="23183"/>
  <c r="J46" i="23183"/>
  <c r="L46" i="23183"/>
  <c r="AX46" i="23183"/>
  <c r="BH46" i="23183"/>
  <c r="U46" i="23183"/>
  <c r="H101" i="23184"/>
  <c r="N101" i="23184"/>
  <c r="AO89" i="23184"/>
  <c r="AD89" i="23184"/>
  <c r="E83" i="23183"/>
  <c r="C46" i="23183"/>
  <c r="C71" i="23183"/>
  <c r="G23" i="23183"/>
  <c r="AC58" i="23183"/>
  <c r="AC23" i="23183"/>
  <c r="AW59" i="23183"/>
  <c r="AW71" i="23183"/>
  <c r="AE46" i="23183"/>
  <c r="T22" i="23183"/>
  <c r="BF25" i="23183"/>
  <c r="AA116" i="23184"/>
  <c r="CY49" i="23183"/>
  <c r="BE78" i="23183"/>
  <c r="BN78" i="23183"/>
  <c r="AB78" i="23183"/>
  <c r="V78" i="23183"/>
  <c r="AZ78" i="23183"/>
  <c r="BJ78" i="23183"/>
  <c r="BO78" i="23183"/>
  <c r="BA78" i="23183"/>
  <c r="U78" i="23183"/>
  <c r="AX78" i="23183"/>
  <c r="R78" i="23183"/>
  <c r="AG78" i="23183"/>
  <c r="AY78" i="23183"/>
  <c r="AO78" i="23183"/>
  <c r="AU78" i="23183"/>
  <c r="F78" i="23183"/>
  <c r="AA78" i="23183"/>
  <c r="AN78" i="23183"/>
  <c r="AM78" i="23183"/>
  <c r="AF78" i="23183"/>
  <c r="AH78" i="23183"/>
  <c r="AW78" i="23183"/>
  <c r="AQ78" i="23183"/>
  <c r="B61" i="23201"/>
  <c r="CK66" i="23183"/>
  <c r="AG66" i="23183"/>
  <c r="AK66" i="23183"/>
  <c r="AP66" i="23183"/>
  <c r="BC66" i="23183"/>
  <c r="T66" i="23183"/>
  <c r="AV66" i="23183"/>
  <c r="D66" i="23183"/>
  <c r="C66" i="23183"/>
  <c r="BD66" i="23183"/>
  <c r="AH66" i="23183"/>
  <c r="AR66" i="23183"/>
  <c r="AS66" i="23183"/>
  <c r="M66" i="23183"/>
  <c r="E66" i="23183"/>
  <c r="O66" i="23183"/>
  <c r="AO66" i="23183"/>
  <c r="AM66" i="23183"/>
  <c r="I66" i="23183"/>
  <c r="AW66" i="23183"/>
  <c r="AN66" i="23183"/>
  <c r="CZ66" i="23183"/>
  <c r="AC66" i="23183"/>
  <c r="C62" i="23184"/>
  <c r="Y62" i="23184" s="1"/>
  <c r="BN66" i="23183"/>
  <c r="AI66" i="23183"/>
  <c r="BG54" i="23183"/>
  <c r="BH54" i="23183"/>
  <c r="V54" i="23183"/>
  <c r="BA54" i="23183"/>
  <c r="AA54" i="23183"/>
  <c r="CJ54" i="23183"/>
  <c r="BI54" i="23183"/>
  <c r="AT54" i="23183"/>
  <c r="AO54" i="23183"/>
  <c r="BF54" i="23183"/>
  <c r="AU54" i="23183"/>
  <c r="AD54" i="23183"/>
  <c r="H54" i="23183"/>
  <c r="AL54" i="23183"/>
  <c r="T54" i="23183"/>
  <c r="AE54" i="23183"/>
  <c r="D54" i="23183"/>
  <c r="AR54" i="23183"/>
  <c r="AH54" i="23183"/>
  <c r="K54" i="23183"/>
  <c r="AK54" i="23183"/>
  <c r="AJ54" i="23183"/>
  <c r="AW54" i="23183"/>
  <c r="AN54" i="23183"/>
  <c r="AI54" i="23183"/>
  <c r="BP54" i="23183"/>
  <c r="AZ54" i="23183"/>
  <c r="AQ54" i="23183"/>
  <c r="CX42" i="23183"/>
  <c r="B37" i="23199"/>
  <c r="F37" i="23199" s="1"/>
  <c r="AC42" i="23183"/>
  <c r="AT42" i="23183"/>
  <c r="AK42" i="23183"/>
  <c r="AA42" i="23183"/>
  <c r="BL42" i="23183"/>
  <c r="AU42" i="23183"/>
  <c r="AV42" i="23183"/>
  <c r="AB42" i="23183"/>
  <c r="BO42" i="23183"/>
  <c r="T42" i="23183"/>
  <c r="R42" i="23183"/>
  <c r="AS42" i="23183"/>
  <c r="F42" i="23183"/>
  <c r="BE42" i="23183"/>
  <c r="AF42" i="23183"/>
  <c r="AN42" i="23183"/>
  <c r="G42" i="23183"/>
  <c r="BI42" i="23183"/>
  <c r="U42" i="23183"/>
  <c r="AO42" i="23183"/>
  <c r="K42" i="23183"/>
  <c r="W42" i="23183"/>
  <c r="AP42" i="23183"/>
  <c r="BM42" i="23183"/>
  <c r="BA42" i="23183"/>
  <c r="AM42" i="23183"/>
  <c r="BI30" i="23183"/>
  <c r="BH30" i="23183"/>
  <c r="AW30" i="23183"/>
  <c r="AE30" i="23183"/>
  <c r="AQ30" i="23183"/>
  <c r="AB30" i="23183"/>
  <c r="BA30" i="23183"/>
  <c r="AR30" i="23183"/>
  <c r="CY30" i="23183"/>
  <c r="AY30" i="23183"/>
  <c r="AF30" i="23183"/>
  <c r="Q30" i="23183"/>
  <c r="R30" i="23183"/>
  <c r="AH30" i="23183"/>
  <c r="F30" i="23183"/>
  <c r="AP30" i="23183"/>
  <c r="AM30" i="23183"/>
  <c r="H30" i="23183"/>
  <c r="BL30" i="23183"/>
  <c r="AK30" i="23183"/>
  <c r="S30" i="23183"/>
  <c r="V30" i="23183"/>
  <c r="BF30" i="23183"/>
  <c r="AN30" i="23183"/>
  <c r="W30" i="23183"/>
  <c r="AG30" i="23183"/>
  <c r="CX30" i="23183"/>
  <c r="AO30" i="23183"/>
  <c r="AV30" i="23183"/>
  <c r="J121" i="23184"/>
  <c r="AB121" i="23184"/>
  <c r="N121" i="23184"/>
  <c r="M121" i="23184"/>
  <c r="E121" i="23184"/>
  <c r="X121" i="23184"/>
  <c r="Q121" i="23184"/>
  <c r="V121" i="23184"/>
  <c r="AC121" i="23184"/>
  <c r="H121" i="23184"/>
  <c r="AI121" i="23184"/>
  <c r="X109" i="23184"/>
  <c r="K109" i="23184"/>
  <c r="O109" i="23184"/>
  <c r="E109" i="23184"/>
  <c r="B108" i="23184"/>
  <c r="M109" i="23184"/>
  <c r="AE109" i="23184"/>
  <c r="Z109" i="23184"/>
  <c r="P109" i="23184"/>
  <c r="K97" i="23184"/>
  <c r="AJ97" i="23184"/>
  <c r="F97" i="23184"/>
  <c r="AH97" i="23184"/>
  <c r="I97" i="23184"/>
  <c r="AA97" i="23184"/>
  <c r="V97" i="23184"/>
  <c r="E97" i="23184"/>
  <c r="AE97" i="23184"/>
  <c r="P47" i="23183"/>
  <c r="F23" i="23183"/>
  <c r="AK23" i="23184"/>
  <c r="Q66" i="23183"/>
  <c r="K20" i="23183"/>
  <c r="H32" i="23183"/>
  <c r="D56" i="23183"/>
  <c r="H80" i="23183"/>
  <c r="D30" i="23183"/>
  <c r="D47" i="23183"/>
  <c r="I23" i="23183"/>
  <c r="K71" i="23183"/>
  <c r="Q42" i="23183"/>
  <c r="P25" i="23183"/>
  <c r="M54" i="23183"/>
  <c r="F66" i="23183"/>
  <c r="M68" i="23183"/>
  <c r="O80" i="23183"/>
  <c r="AE78" i="23183"/>
  <c r="AY66" i="23183"/>
  <c r="R68" i="23183"/>
  <c r="Z42" i="23183"/>
  <c r="AX42" i="23183"/>
  <c r="U25" i="23183"/>
  <c r="Y66" i="23183"/>
  <c r="AD30" i="23183"/>
  <c r="AF54" i="23183"/>
  <c r="AW23" i="23183"/>
  <c r="AU59" i="23183"/>
  <c r="AV71" i="23183"/>
  <c r="AD32" i="23183"/>
  <c r="AH44" i="23183"/>
  <c r="W56" i="23183"/>
  <c r="AV68" i="23183"/>
  <c r="AR46" i="23183"/>
  <c r="BK22" i="23183"/>
  <c r="BH42" i="23183"/>
  <c r="AF109" i="23184"/>
  <c r="AB104" i="23184"/>
  <c r="BT42" i="23183"/>
  <c r="BI58" i="23183"/>
  <c r="AE58" i="23183"/>
  <c r="Z58" i="23183"/>
  <c r="AD58" i="23183"/>
  <c r="AF58" i="23183"/>
  <c r="P71" i="23183"/>
  <c r="P68" i="23183"/>
  <c r="P32" i="23183"/>
  <c r="G44" i="23183"/>
  <c r="P56" i="23183"/>
  <c r="G80" i="23183"/>
  <c r="K61" i="23183"/>
  <c r="I58" i="23183"/>
  <c r="L35" i="23183"/>
  <c r="P83" i="23183"/>
  <c r="D25" i="23183"/>
  <c r="N71" i="23183"/>
  <c r="O68" i="23183"/>
  <c r="AN83" i="23183"/>
  <c r="AX66" i="23183"/>
  <c r="V42" i="23183"/>
  <c r="AW42" i="23183"/>
  <c r="AQ25" i="23183"/>
  <c r="AC30" i="23183"/>
  <c r="AY54" i="23183"/>
  <c r="AI23" i="23183"/>
  <c r="AV83" i="23183"/>
  <c r="AR78" i="23183"/>
  <c r="AT71" i="23183"/>
  <c r="AB32" i="23183"/>
  <c r="AG44" i="23183"/>
  <c r="AI56" i="23183"/>
  <c r="AY68" i="23183"/>
  <c r="D46" i="23183"/>
  <c r="Z78" i="23183"/>
  <c r="BG49" i="23183"/>
  <c r="K113" i="23184"/>
  <c r="AA102" i="23184"/>
  <c r="AL116" i="23184"/>
  <c r="CZ78" i="23183"/>
  <c r="AQ87" i="23183"/>
  <c r="AD87" i="23183"/>
  <c r="AT87" i="23183"/>
  <c r="CM87" i="23183"/>
  <c r="AJ87" i="23183"/>
  <c r="AE87" i="23183"/>
  <c r="R87" i="23183"/>
  <c r="AO87" i="23183"/>
  <c r="B70" i="23200"/>
  <c r="BT75" i="23183"/>
  <c r="BG75" i="23183"/>
  <c r="AW75" i="23183"/>
  <c r="AB75" i="23183"/>
  <c r="BW75" i="23183"/>
  <c r="BH75" i="23183"/>
  <c r="AE75" i="23183"/>
  <c r="AX75" i="23183"/>
  <c r="CG63" i="23183"/>
  <c r="BC63" i="23183"/>
  <c r="AH63" i="23183"/>
  <c r="AT63" i="23183"/>
  <c r="AK63" i="23183"/>
  <c r="AP63" i="23183"/>
  <c r="CT63" i="23183"/>
  <c r="BO63" i="23183"/>
  <c r="S63" i="23183"/>
  <c r="AU63" i="23183"/>
  <c r="AB63" i="23183"/>
  <c r="Z63" i="23183"/>
  <c r="CJ51" i="23183"/>
  <c r="BJ51" i="23183"/>
  <c r="AC51" i="23183"/>
  <c r="AM51" i="23183"/>
  <c r="BK51" i="23183"/>
  <c r="BD51" i="23183"/>
  <c r="AO51" i="23183"/>
  <c r="Z51" i="23183"/>
  <c r="R51" i="23183"/>
  <c r="BI39" i="23183"/>
  <c r="AT39" i="23183"/>
  <c r="AP39" i="23183"/>
  <c r="AL39" i="23183"/>
  <c r="BJ39" i="23183"/>
  <c r="AU39" i="23183"/>
  <c r="T39" i="23183"/>
  <c r="AM39" i="23183"/>
  <c r="B22" i="23200"/>
  <c r="L22" i="23200" s="1"/>
  <c r="AQ27" i="23183"/>
  <c r="AT27" i="23183" s="1"/>
  <c r="AM27" i="23183"/>
  <c r="T27" i="23183"/>
  <c r="AW27" i="23183"/>
  <c r="AK94" i="23184"/>
  <c r="AB94" i="23184"/>
  <c r="Q94" i="23184"/>
  <c r="Y94" i="23184"/>
  <c r="B46" i="23200"/>
  <c r="BQ63" i="23183"/>
  <c r="CA27" i="23183"/>
  <c r="BU51" i="23183"/>
  <c r="BA45" i="23183"/>
  <c r="R45" i="23183"/>
  <c r="K33" i="23183"/>
  <c r="AR33" i="23183"/>
  <c r="BE39" i="23183"/>
  <c r="BO75" i="23183"/>
  <c r="BF87" i="23183"/>
  <c r="BL63" i="23183"/>
  <c r="BP87" i="23183"/>
  <c r="AG103" i="23184"/>
  <c r="C59" i="23184"/>
  <c r="CX63" i="23183"/>
  <c r="CD27" i="23183"/>
  <c r="AF98" i="23184"/>
  <c r="S98" i="23184"/>
  <c r="V98" i="23184"/>
  <c r="L98" i="23184"/>
  <c r="X98" i="23184"/>
  <c r="S86" i="23184"/>
  <c r="T86" i="23184"/>
  <c r="AU86" i="23184"/>
  <c r="F86" i="23184"/>
  <c r="N87" i="23183"/>
  <c r="Z39" i="23183"/>
  <c r="AG39" i="23183"/>
  <c r="AW39" i="23183"/>
  <c r="Y75" i="23183"/>
  <c r="U27" i="23183"/>
  <c r="W27" i="23183"/>
  <c r="AJ63" i="23183"/>
  <c r="AI63" i="23183"/>
  <c r="AL63" i="23183"/>
  <c r="Y87" i="23183"/>
  <c r="AS51" i="23183"/>
  <c r="BC87" i="23183"/>
  <c r="BO51" i="23183"/>
  <c r="BL75" i="23183"/>
  <c r="AA87" i="23183"/>
  <c r="BJ63" i="23183"/>
  <c r="BM75" i="23183"/>
  <c r="BP75" i="23183"/>
  <c r="AA98" i="23184"/>
  <c r="AJ98" i="23184"/>
  <c r="BT39" i="23183"/>
  <c r="CB87" i="23183"/>
  <c r="AO75" i="23183"/>
  <c r="Y39" i="23183"/>
  <c r="U39" i="23183"/>
  <c r="AV39" i="23183"/>
  <c r="AA75" i="23183"/>
  <c r="AJ75" i="23183"/>
  <c r="AG51" i="23183"/>
  <c r="R27" i="23183"/>
  <c r="AN27" i="23183"/>
  <c r="X63" i="23183"/>
  <c r="AK87" i="23183"/>
  <c r="AH51" i="23183"/>
  <c r="BO39" i="23183"/>
  <c r="BC51" i="23183"/>
  <c r="BJ75" i="23183"/>
  <c r="BH63" i="23183"/>
  <c r="G98" i="23184"/>
  <c r="AB98" i="23184"/>
  <c r="BM63" i="23183"/>
  <c r="BS39" i="23183"/>
  <c r="B33" i="23201"/>
  <c r="V38" i="23183"/>
  <c r="AE38" i="23183"/>
  <c r="BP38" i="23183"/>
  <c r="AR38" i="23183"/>
  <c r="AO38" i="23183"/>
  <c r="M38" i="23183"/>
  <c r="O38" i="23183"/>
  <c r="AT38" i="23183"/>
  <c r="AL38" i="23183"/>
  <c r="AN38" i="23183"/>
  <c r="N38" i="23183"/>
  <c r="BF38" i="23183"/>
  <c r="J38" i="23183"/>
  <c r="F21" i="23183"/>
  <c r="Q57" i="23183"/>
  <c r="K49" i="23183"/>
  <c r="U85" i="23183"/>
  <c r="AZ85" i="23183"/>
  <c r="AI49" i="23183"/>
  <c r="AD21" i="23183"/>
  <c r="AU33" i="23183"/>
  <c r="AU69" i="23183"/>
  <c r="AM57" i="23183"/>
  <c r="AK21" i="23183"/>
  <c r="BE69" i="23183"/>
  <c r="CX37" i="23183"/>
  <c r="BU62" i="23183"/>
  <c r="CV62" i="23183"/>
  <c r="AZ62" i="23183"/>
  <c r="AA62" i="23183"/>
  <c r="AB62" i="23183"/>
  <c r="N62" i="23183"/>
  <c r="AN62" i="23183"/>
  <c r="X62" i="23183"/>
  <c r="H62" i="23183"/>
  <c r="AQ62" i="23183"/>
  <c r="W62" i="23183"/>
  <c r="K62" i="23183"/>
  <c r="E62" i="23183"/>
  <c r="D62" i="23183"/>
  <c r="O62" i="23183"/>
  <c r="C38" i="23183"/>
  <c r="BQ61" i="23183"/>
  <c r="AU61" i="23183"/>
  <c r="CF61" i="23183"/>
  <c r="B56" i="23200"/>
  <c r="BF61" i="23183"/>
  <c r="BP61" i="23183"/>
  <c r="BM61" i="23183"/>
  <c r="BJ61" i="23183"/>
  <c r="W61" i="23183"/>
  <c r="BA61" i="23183"/>
  <c r="T61" i="23183"/>
  <c r="CD61" i="23183"/>
  <c r="BG61" i="23183"/>
  <c r="C61" i="23183"/>
  <c r="AQ61" i="23183"/>
  <c r="BU61" i="23183"/>
  <c r="CS61" i="23183"/>
  <c r="AX61" i="23183"/>
  <c r="AG61" i="23183"/>
  <c r="Y61" i="23183"/>
  <c r="BH61" i="23183"/>
  <c r="AO61" i="23183"/>
  <c r="AV61" i="23183"/>
  <c r="AM61" i="23183"/>
  <c r="U61" i="23183"/>
  <c r="AK61" i="23183"/>
  <c r="CM61" i="23183"/>
  <c r="AR61" i="23183"/>
  <c r="AP61" i="23183"/>
  <c r="AN61" i="23183"/>
  <c r="BI61" i="23183"/>
  <c r="V61" i="23183"/>
  <c r="AF61" i="23183"/>
  <c r="M61" i="23183"/>
  <c r="N61" i="23183"/>
  <c r="O61" i="23183"/>
  <c r="BN61" i="23183"/>
  <c r="BK61" i="23183"/>
  <c r="AW61" i="23183"/>
  <c r="X61" i="23183"/>
  <c r="J61" i="23183"/>
  <c r="CN61" i="23183"/>
  <c r="BE61" i="23183"/>
  <c r="AY61" i="23183"/>
  <c r="AJ61" i="23183"/>
  <c r="E61" i="23183"/>
  <c r="BY61" i="23183"/>
  <c r="B56" i="23199"/>
  <c r="BC61" i="23183"/>
  <c r="AS61" i="23183"/>
  <c r="H61" i="23183"/>
  <c r="CV61" i="23183"/>
  <c r="AA61" i="23183"/>
  <c r="AT61" i="23183"/>
  <c r="I61" i="23183"/>
  <c r="AI61" i="23183"/>
  <c r="AB61" i="23183"/>
  <c r="F61" i="23183"/>
  <c r="Z61" i="23183"/>
  <c r="S61" i="23183"/>
  <c r="L61" i="23183"/>
  <c r="P61" i="23183"/>
  <c r="G38" i="23183"/>
  <c r="AC33" i="23183"/>
  <c r="O81" i="23183"/>
  <c r="AS57" i="23183"/>
  <c r="AM81" i="23183"/>
  <c r="AZ61" i="23183"/>
  <c r="BO21" i="23183"/>
  <c r="BI33" i="23183"/>
  <c r="BC81" i="23183"/>
  <c r="AB112" i="23184"/>
  <c r="B68" i="23201"/>
  <c r="CS85" i="23183"/>
  <c r="CQ73" i="23183"/>
  <c r="CZ86" i="23183"/>
  <c r="BD86" i="23183"/>
  <c r="BM86" i="23183"/>
  <c r="W86" i="23183"/>
  <c r="BG86" i="23183"/>
  <c r="AG86" i="23183"/>
  <c r="AO86" i="23183"/>
  <c r="Y86" i="23183"/>
  <c r="P86" i="23183"/>
  <c r="AR86" i="23183"/>
  <c r="X86" i="23183"/>
  <c r="M86" i="23183"/>
  <c r="Z86" i="23183"/>
  <c r="AA81" i="23183"/>
  <c r="CT38" i="23183"/>
  <c r="E21" i="23183"/>
  <c r="E81" i="23183"/>
  <c r="Q61" i="23183"/>
  <c r="N33" i="23183"/>
  <c r="G26" i="23183"/>
  <c r="Q62" i="23183"/>
  <c r="O73" i="23183"/>
  <c r="D69" i="23183"/>
  <c r="J81" i="23183"/>
  <c r="AF45" i="23183"/>
  <c r="AL73" i="23183"/>
  <c r="AX33" i="23183"/>
  <c r="BA57" i="23183"/>
  <c r="AW86" i="23183"/>
  <c r="BO61" i="23183"/>
  <c r="L69" i="23183"/>
  <c r="R57" i="23183"/>
  <c r="BE62" i="23183"/>
  <c r="BZ85" i="23183"/>
  <c r="BV85" i="23183"/>
  <c r="BO85" i="23183"/>
  <c r="BJ85" i="23183"/>
  <c r="R85" i="23183"/>
  <c r="CX85" i="23183"/>
  <c r="CT85" i="23183"/>
  <c r="BE85" i="23183"/>
  <c r="AO85" i="23183"/>
  <c r="CP85" i="23183"/>
  <c r="BG85" i="23183"/>
  <c r="AE85" i="23183"/>
  <c r="BW85" i="23183"/>
  <c r="AM85" i="23183"/>
  <c r="CL85" i="23183"/>
  <c r="CU85" i="23183"/>
  <c r="BD85" i="23183"/>
  <c r="BL85" i="23183"/>
  <c r="CO85" i="23183"/>
  <c r="BM85" i="23183"/>
  <c r="BK85" i="23183"/>
  <c r="AB85" i="23183"/>
  <c r="CR85" i="23183"/>
  <c r="BF85" i="23183"/>
  <c r="AK85" i="23183"/>
  <c r="CQ85" i="23183"/>
  <c r="AP85" i="23183"/>
  <c r="AC85" i="23183"/>
  <c r="AS85" i="23183"/>
  <c r="O85" i="23183"/>
  <c r="CH85" i="23183"/>
  <c r="BN85" i="23183"/>
  <c r="AQ85" i="23183"/>
  <c r="AD85" i="23183"/>
  <c r="AJ85" i="23183"/>
  <c r="AT85" i="23183"/>
  <c r="C85" i="23183"/>
  <c r="M85" i="23183"/>
  <c r="CJ85" i="23183"/>
  <c r="S85" i="23183"/>
  <c r="X85" i="23183"/>
  <c r="AU85" i="23183"/>
  <c r="AR85" i="23183"/>
  <c r="P85" i="23183"/>
  <c r="AN85" i="23183"/>
  <c r="AY85" i="23183"/>
  <c r="AF85" i="23183"/>
  <c r="BC85" i="23183"/>
  <c r="AI85" i="23183"/>
  <c r="AV85" i="23183"/>
  <c r="T85" i="23183"/>
  <c r="Y85" i="23183"/>
  <c r="D85" i="23183"/>
  <c r="H85" i="23183"/>
  <c r="CA85" i="23183"/>
  <c r="BP85" i="23183"/>
  <c r="N85" i="23183"/>
  <c r="I85" i="23183"/>
  <c r="CB85" i="23183"/>
  <c r="AA85" i="23183"/>
  <c r="AL85" i="23183"/>
  <c r="AW85" i="23183"/>
  <c r="AG85" i="23183"/>
  <c r="F85" i="23183"/>
  <c r="BR85" i="23183"/>
  <c r="BI85" i="23183"/>
  <c r="BA85" i="23183"/>
  <c r="V85" i="23183"/>
  <c r="AH85" i="23183"/>
  <c r="L85" i="23183"/>
  <c r="CU73" i="23183"/>
  <c r="CM73" i="23183"/>
  <c r="B68" i="23200"/>
  <c r="O68" i="23200" s="1"/>
  <c r="BH73" i="23183"/>
  <c r="CD73" i="23183"/>
  <c r="BF73" i="23183"/>
  <c r="BO73" i="23183"/>
  <c r="T73" i="23183"/>
  <c r="BL73" i="23183"/>
  <c r="BI73" i="23183"/>
  <c r="AG73" i="23183"/>
  <c r="AH73" i="23183"/>
  <c r="BC73" i="23183"/>
  <c r="BN73" i="23183"/>
  <c r="BJ73" i="23183"/>
  <c r="AN73" i="23183"/>
  <c r="AB73" i="23183"/>
  <c r="AO73" i="23183"/>
  <c r="BG73" i="23183"/>
  <c r="AS73" i="23183"/>
  <c r="K73" i="23183"/>
  <c r="D73" i="23183"/>
  <c r="Z73" i="23183"/>
  <c r="AK73" i="23183"/>
  <c r="AJ73" i="23183"/>
  <c r="AT73" i="23183"/>
  <c r="F73" i="23183"/>
  <c r="BK73" i="23183"/>
  <c r="W73" i="23183"/>
  <c r="AU73" i="23183"/>
  <c r="G73" i="23183"/>
  <c r="J73" i="23183"/>
  <c r="BE73" i="23183"/>
  <c r="AY73" i="23183"/>
  <c r="AR73" i="23183"/>
  <c r="AA73" i="23183"/>
  <c r="AM73" i="23183"/>
  <c r="AV73" i="23183"/>
  <c r="M73" i="23183"/>
  <c r="BM73" i="23183"/>
  <c r="X73" i="23183"/>
  <c r="AD73" i="23183"/>
  <c r="E73" i="23183"/>
  <c r="AF73" i="23183"/>
  <c r="H73" i="23183"/>
  <c r="AP73" i="23183"/>
  <c r="AI73" i="23183"/>
  <c r="Q73" i="23183"/>
  <c r="BD73" i="23183"/>
  <c r="AW73" i="23183"/>
  <c r="S73" i="23183"/>
  <c r="U73" i="23183"/>
  <c r="P73" i="23183"/>
  <c r="I73" i="23183"/>
  <c r="BV73" i="23183"/>
  <c r="BA73" i="23183"/>
  <c r="L73" i="23183"/>
  <c r="C73" i="23183"/>
  <c r="CA49" i="23183"/>
  <c r="CD49" i="23183"/>
  <c r="B44" i="23199"/>
  <c r="BE49" i="23183"/>
  <c r="BH49" i="23183"/>
  <c r="BD49" i="23183"/>
  <c r="BK49" i="23183"/>
  <c r="BI49" i="23183"/>
  <c r="AP49" i="23183"/>
  <c r="L49" i="23183"/>
  <c r="AJ49" i="23183"/>
  <c r="U49" i="23183"/>
  <c r="E49" i="23183"/>
  <c r="AW49" i="23183"/>
  <c r="AV49" i="23183"/>
  <c r="AM49" i="23183"/>
  <c r="Q49" i="23183"/>
  <c r="BF49" i="23183"/>
  <c r="AX49" i="23183"/>
  <c r="AA49" i="23183"/>
  <c r="H49" i="23183"/>
  <c r="BN49" i="23183"/>
  <c r="AF49" i="23183"/>
  <c r="AC49" i="23183"/>
  <c r="AY49" i="23183"/>
  <c r="AB49" i="23183"/>
  <c r="I49" i="23183"/>
  <c r="AQ49" i="23183"/>
  <c r="AL49" i="23183"/>
  <c r="AZ49" i="23183"/>
  <c r="AN49" i="23183"/>
  <c r="T49" i="23183"/>
  <c r="J49" i="23183"/>
  <c r="Y49" i="23183"/>
  <c r="AS49" i="23183"/>
  <c r="AE49" i="23183"/>
  <c r="C49" i="23183"/>
  <c r="BO49" i="23183"/>
  <c r="BM49" i="23183"/>
  <c r="BJ49" i="23183"/>
  <c r="AT49" i="23183"/>
  <c r="AG49" i="23183"/>
  <c r="V49" i="23183"/>
  <c r="P49" i="23183"/>
  <c r="D49" i="23183"/>
  <c r="BC49" i="23183"/>
  <c r="AO49" i="23183"/>
  <c r="AU49" i="23183"/>
  <c r="R49" i="23183"/>
  <c r="F49" i="23183"/>
  <c r="BP49" i="23183"/>
  <c r="BL49" i="23183"/>
  <c r="X49" i="23183"/>
  <c r="AK49" i="23183"/>
  <c r="O49" i="23183"/>
  <c r="CM37" i="23183"/>
  <c r="BL37" i="23183"/>
  <c r="BI37" i="23183"/>
  <c r="BR37" i="23183"/>
  <c r="CJ37" i="23183"/>
  <c r="BE37" i="23183"/>
  <c r="BC37" i="23183"/>
  <c r="BK37" i="23183"/>
  <c r="CI37" i="23183"/>
  <c r="BA37" i="23183"/>
  <c r="AB37" i="23183"/>
  <c r="AD37" i="23183"/>
  <c r="CB37" i="23183"/>
  <c r="BG37" i="23183"/>
  <c r="CP37" i="23183"/>
  <c r="BO37" i="23183"/>
  <c r="M37" i="23183"/>
  <c r="AJ37" i="23183"/>
  <c r="T37" i="23183"/>
  <c r="BV37" i="23183"/>
  <c r="BM37" i="23183"/>
  <c r="AY37" i="23183"/>
  <c r="AA37" i="23183"/>
  <c r="V37" i="23183"/>
  <c r="BP37" i="23183"/>
  <c r="AT37" i="23183"/>
  <c r="S37" i="23183"/>
  <c r="E37" i="23183"/>
  <c r="G37" i="23183"/>
  <c r="BH37" i="23183"/>
  <c r="BD37" i="23183"/>
  <c r="AU37" i="23183"/>
  <c r="AQ37" i="23183"/>
  <c r="Q37" i="23183"/>
  <c r="L37" i="23183"/>
  <c r="W37" i="23183"/>
  <c r="AR37" i="23183"/>
  <c r="H37" i="23183"/>
  <c r="BF37" i="23183"/>
  <c r="AI37" i="23183"/>
  <c r="U37" i="23183"/>
  <c r="I37" i="23183"/>
  <c r="BQ37" i="23183"/>
  <c r="BN37" i="23183"/>
  <c r="X37" i="23183"/>
  <c r="Y37" i="23183"/>
  <c r="J37" i="23183"/>
  <c r="BU37" i="23183"/>
  <c r="AL37" i="23183"/>
  <c r="AF37" i="23183"/>
  <c r="N37" i="23183"/>
  <c r="CT37" i="23183"/>
  <c r="B32" i="23199"/>
  <c r="B32" i="23201"/>
  <c r="AM37" i="23183"/>
  <c r="AG37" i="23183"/>
  <c r="C37" i="23183"/>
  <c r="BZ37" i="23183"/>
  <c r="BJ37" i="23183"/>
  <c r="AW37" i="23183"/>
  <c r="AN37" i="23183"/>
  <c r="AH37" i="23183"/>
  <c r="O37" i="23183"/>
  <c r="AS37" i="23183"/>
  <c r="AO37" i="23183"/>
  <c r="F37" i="23183"/>
  <c r="N73" i="23183"/>
  <c r="Q85" i="23183"/>
  <c r="D61" i="23183"/>
  <c r="X81" i="23183"/>
  <c r="Y45" i="23183"/>
  <c r="AE37" i="23183"/>
  <c r="R61" i="23183"/>
  <c r="AC73" i="23183"/>
  <c r="R117" i="23184"/>
  <c r="J117" i="23184"/>
  <c r="N117" i="23184"/>
  <c r="B116" i="23184"/>
  <c r="V117" i="23184"/>
  <c r="U117" i="23184"/>
  <c r="L117" i="23184"/>
  <c r="T69" i="23183"/>
  <c r="AB69" i="23183"/>
  <c r="BM69" i="23183"/>
  <c r="U69" i="23183"/>
  <c r="BL69" i="23183"/>
  <c r="AC69" i="23183"/>
  <c r="AY69" i="23183"/>
  <c r="AI69" i="23183"/>
  <c r="AZ69" i="23183"/>
  <c r="AQ69" i="23183"/>
  <c r="BJ69" i="23183"/>
  <c r="BN69" i="23183"/>
  <c r="AT69" i="23183"/>
  <c r="BC69" i="23183"/>
  <c r="R69" i="23183"/>
  <c r="W69" i="23183"/>
  <c r="F69" i="23183"/>
  <c r="AD69" i="23183"/>
  <c r="G69" i="23183"/>
  <c r="B64" i="23200"/>
  <c r="F64" i="23200" s="1"/>
  <c r="BD69" i="23183"/>
  <c r="AP69" i="23183"/>
  <c r="O69" i="23183"/>
  <c r="N69" i="23183"/>
  <c r="H69" i="23183"/>
  <c r="S69" i="23183"/>
  <c r="AN69" i="23183"/>
  <c r="AM69" i="23183"/>
  <c r="J69" i="23183"/>
  <c r="AE69" i="23183"/>
  <c r="Y69" i="23183"/>
  <c r="X69" i="23183"/>
  <c r="AW69" i="23183"/>
  <c r="AH69" i="23183"/>
  <c r="AX69" i="23183"/>
  <c r="AR69" i="23183"/>
  <c r="AO69" i="23183"/>
  <c r="E69" i="23183"/>
  <c r="AJ69" i="23183"/>
  <c r="BA69" i="23183"/>
  <c r="AA69" i="23183"/>
  <c r="Z69" i="23183"/>
  <c r="Q69" i="23183"/>
  <c r="BK69" i="23183"/>
  <c r="AG69" i="23183"/>
  <c r="AV69" i="23183"/>
  <c r="AL69" i="23183"/>
  <c r="C69" i="23183"/>
  <c r="BJ57" i="23183"/>
  <c r="BL57" i="23183"/>
  <c r="BD57" i="23183"/>
  <c r="BE57" i="23183"/>
  <c r="AA57" i="23183"/>
  <c r="AC57" i="23183"/>
  <c r="W57" i="23183"/>
  <c r="V57" i="23183"/>
  <c r="S57" i="23183"/>
  <c r="BO57" i="23183"/>
  <c r="AZ57" i="23183"/>
  <c r="AF57" i="23183"/>
  <c r="AT57" i="23183"/>
  <c r="U57" i="23183"/>
  <c r="AR57" i="23183"/>
  <c r="AI57" i="23183"/>
  <c r="AK57" i="23183"/>
  <c r="K57" i="23183"/>
  <c r="L57" i="23183"/>
  <c r="X57" i="23183"/>
  <c r="AB57" i="23183"/>
  <c r="N57" i="23183"/>
  <c r="BF57" i="23183"/>
  <c r="AN57" i="23183"/>
  <c r="AL57" i="23183"/>
  <c r="O57" i="23183"/>
  <c r="C57" i="23183"/>
  <c r="BG57" i="23183"/>
  <c r="AV57" i="23183"/>
  <c r="BK57" i="23183"/>
  <c r="Z57" i="23183"/>
  <c r="AE57" i="23183"/>
  <c r="E57" i="23183"/>
  <c r="AD57" i="23183"/>
  <c r="AW57" i="23183"/>
  <c r="T57" i="23183"/>
  <c r="AO57" i="23183"/>
  <c r="H57" i="23183"/>
  <c r="AX57" i="23183"/>
  <c r="AH57" i="23183"/>
  <c r="I57" i="23183"/>
  <c r="AY57" i="23183"/>
  <c r="AJ57" i="23183"/>
  <c r="P57" i="23183"/>
  <c r="J57" i="23183"/>
  <c r="BZ57" i="23183"/>
  <c r="AU57" i="23183"/>
  <c r="AQ57" i="23183"/>
  <c r="G57" i="23183"/>
  <c r="BC33" i="23183"/>
  <c r="CH33" i="23183"/>
  <c r="BL33" i="23183"/>
  <c r="BP33" i="23183"/>
  <c r="BN33" i="23183"/>
  <c r="BD33" i="23183"/>
  <c r="BH33" i="23183"/>
  <c r="P33" i="23183"/>
  <c r="BK33" i="23183"/>
  <c r="AY33" i="23183"/>
  <c r="AD33" i="23183"/>
  <c r="Z33" i="23183"/>
  <c r="O33" i="23183"/>
  <c r="AZ33" i="23183"/>
  <c r="AV33" i="23183"/>
  <c r="AP33" i="23183"/>
  <c r="D33" i="23183"/>
  <c r="BA33" i="23183"/>
  <c r="AH33" i="23183"/>
  <c r="X33" i="23183"/>
  <c r="G33" i="23183"/>
  <c r="BF33" i="23183"/>
  <c r="T33" i="23183"/>
  <c r="R33" i="23183"/>
  <c r="AA33" i="23183"/>
  <c r="E33" i="23183"/>
  <c r="L33" i="23183"/>
  <c r="B28" i="23201"/>
  <c r="BG33" i="23183"/>
  <c r="AF33" i="23183"/>
  <c r="AI33" i="23183"/>
  <c r="AE33" i="23183"/>
  <c r="Q33" i="23183"/>
  <c r="M33" i="23183"/>
  <c r="BJ33" i="23183"/>
  <c r="AS33" i="23183"/>
  <c r="AJ33" i="23183"/>
  <c r="AN33" i="23183"/>
  <c r="H33" i="23183"/>
  <c r="BM33" i="23183"/>
  <c r="U33" i="23183"/>
  <c r="V33" i="23183"/>
  <c r="AQ33" i="23183"/>
  <c r="I33" i="23183"/>
  <c r="BO33" i="23183"/>
  <c r="AW33" i="23183"/>
  <c r="AG33" i="23183"/>
  <c r="AK33" i="23183"/>
  <c r="J33" i="23183"/>
  <c r="AO33" i="23183"/>
  <c r="AB33" i="23183"/>
  <c r="Y33" i="23183"/>
  <c r="C33" i="23183"/>
  <c r="CE21" i="23183"/>
  <c r="BI21" i="23183"/>
  <c r="X21" i="23183"/>
  <c r="B16" i="23199"/>
  <c r="E16" i="23199" s="1"/>
  <c r="CI21" i="23183"/>
  <c r="AF21" i="23183"/>
  <c r="AC21" i="23183"/>
  <c r="V21" i="23183"/>
  <c r="CN21" i="23183"/>
  <c r="BV21" i="23183"/>
  <c r="AO21" i="23183"/>
  <c r="BG21" i="23183"/>
  <c r="AH21" i="23183"/>
  <c r="T21" i="23183"/>
  <c r="BW21" i="23183"/>
  <c r="CH21" i="23183"/>
  <c r="Y21" i="23183"/>
  <c r="AJ21" i="23183"/>
  <c r="BJ21" i="23183"/>
  <c r="CB21" i="23183"/>
  <c r="CA21" i="23183"/>
  <c r="AX21" i="23183"/>
  <c r="K21" i="23183"/>
  <c r="CV21" i="23183"/>
  <c r="BK21" i="23183"/>
  <c r="BD21" i="23183"/>
  <c r="BM21" i="23183"/>
  <c r="AR21" i="23183"/>
  <c r="AV21" i="23183"/>
  <c r="J21" i="23183"/>
  <c r="W21" i="23183"/>
  <c r="I21" i="23183"/>
  <c r="CF21" i="23183"/>
  <c r="BH21" i="23183"/>
  <c r="AM21" i="23183"/>
  <c r="H21" i="23183"/>
  <c r="AP21" i="23183"/>
  <c r="AA21" i="23183"/>
  <c r="G21" i="23183"/>
  <c r="BX21" i="23183"/>
  <c r="BC21" i="23183"/>
  <c r="U21" i="23183"/>
  <c r="R21" i="23183"/>
  <c r="D21" i="23183"/>
  <c r="O21" i="23183" s="1"/>
  <c r="AL21" i="23183"/>
  <c r="P21" i="23183"/>
  <c r="AN21" i="23183"/>
  <c r="Z21" i="23183"/>
  <c r="C21" i="23183"/>
  <c r="AI21" i="23183"/>
  <c r="AG21" i="23183"/>
  <c r="AW21" i="23183"/>
  <c r="S21" i="23183"/>
  <c r="L21" i="23183"/>
  <c r="L112" i="23184"/>
  <c r="AH112" i="23184"/>
  <c r="O112" i="23184"/>
  <c r="B111" i="23184"/>
  <c r="X112" i="23184"/>
  <c r="H112" i="23184"/>
  <c r="AD112" i="23184"/>
  <c r="K100" i="23184"/>
  <c r="E100" i="23184"/>
  <c r="AB88" i="23184"/>
  <c r="AJ88" i="23184"/>
  <c r="CQ26" i="23183"/>
  <c r="AF26" i="23183"/>
  <c r="AC26" i="23183"/>
  <c r="I26" i="23183"/>
  <c r="U26" i="23183"/>
  <c r="J26" i="23183"/>
  <c r="BG26" i="23183"/>
  <c r="V26" i="23183"/>
  <c r="K26" i="23183"/>
  <c r="AA26" i="23183"/>
  <c r="L26" i="23183"/>
  <c r="AG26" i="23183"/>
  <c r="AN26" i="23183"/>
  <c r="H26" i="23183"/>
  <c r="Y73" i="23183"/>
  <c r="AN45" i="23183"/>
  <c r="AV37" i="23183"/>
  <c r="R38" i="23183"/>
  <c r="BD61" i="23183"/>
  <c r="CY50" i="23183"/>
  <c r="BD50" i="23183"/>
  <c r="AJ50" i="23183"/>
  <c r="CA50" i="23183"/>
  <c r="AM50" i="23183"/>
  <c r="AY50" i="23183"/>
  <c r="AU50" i="23183"/>
  <c r="BF50" i="23183"/>
  <c r="AE50" i="23183"/>
  <c r="P50" i="23183"/>
  <c r="U50" i="23183"/>
  <c r="E50" i="23183"/>
  <c r="CZ50" i="23183"/>
  <c r="BA50" i="23183"/>
  <c r="F50" i="23183"/>
  <c r="AT50" i="23183"/>
  <c r="AP50" i="23183"/>
  <c r="C50" i="23183"/>
  <c r="AK50" i="23183"/>
  <c r="M50" i="23183"/>
  <c r="AN105" i="23184"/>
  <c r="M105" i="23184"/>
  <c r="E105" i="23184"/>
  <c r="L105" i="23184"/>
  <c r="AO105" i="23184"/>
  <c r="J86" i="23183"/>
  <c r="E74" i="23183"/>
  <c r="AQ73" i="23183"/>
  <c r="P45" i="23183"/>
  <c r="P37" i="23183"/>
  <c r="AE73" i="23183"/>
  <c r="AH61" i="23183"/>
  <c r="AM33" i="23183"/>
  <c r="AL45" i="23183"/>
  <c r="Z37" i="23183"/>
  <c r="V86" i="23183"/>
  <c r="Z85" i="23183"/>
  <c r="AF69" i="23183"/>
  <c r="BA38" i="23183"/>
  <c r="BL61" i="23183"/>
  <c r="BD81" i="23183"/>
  <c r="C81" i="23184"/>
  <c r="S81" i="23184" s="1"/>
  <c r="BK74" i="23183"/>
  <c r="BN74" i="23183"/>
  <c r="K74" i="23183"/>
  <c r="BA74" i="23183"/>
  <c r="AT74" i="23183"/>
  <c r="X74" i="23183"/>
  <c r="W74" i="23183"/>
  <c r="H74" i="23183"/>
  <c r="P74" i="23183"/>
  <c r="J74" i="23183"/>
  <c r="AP74" i="23183"/>
  <c r="N74" i="23183"/>
  <c r="F74" i="23183"/>
  <c r="V74" i="23183"/>
  <c r="AZ74" i="23183"/>
  <c r="AK74" i="23183"/>
  <c r="K69" i="23183"/>
  <c r="H45" i="23183"/>
  <c r="K37" i="23183"/>
  <c r="R73" i="23183"/>
  <c r="S49" i="23183"/>
  <c r="AL33" i="23183"/>
  <c r="AZ37" i="23183"/>
  <c r="AY74" i="23183"/>
  <c r="AN81" i="23183"/>
  <c r="BE21" i="23183"/>
  <c r="BO50" i="23183"/>
  <c r="BN86" i="23183"/>
  <c r="BN50" i="23183"/>
  <c r="CJ45" i="23183"/>
  <c r="BK45" i="23183"/>
  <c r="BM45" i="23183"/>
  <c r="BP45" i="23183"/>
  <c r="BG45" i="23183"/>
  <c r="BC45" i="23183"/>
  <c r="AX45" i="23183"/>
  <c r="Z45" i="23183"/>
  <c r="U45" i="23183"/>
  <c r="BF45" i="23183"/>
  <c r="AV45" i="23183"/>
  <c r="AK45" i="23183"/>
  <c r="BL45" i="23183"/>
  <c r="G45" i="23183"/>
  <c r="X45" i="23183"/>
  <c r="T45" i="23183"/>
  <c r="BY45" i="23183"/>
  <c r="BE45" i="23183"/>
  <c r="AT45" i="23183"/>
  <c r="AO45" i="23183"/>
  <c r="F45" i="23183"/>
  <c r="BH45" i="23183"/>
  <c r="AU45" i="23183"/>
  <c r="AP45" i="23183"/>
  <c r="M45" i="23183"/>
  <c r="BI45" i="23183"/>
  <c r="W45" i="23183"/>
  <c r="AQ45" i="23183"/>
  <c r="N45" i="23183"/>
  <c r="BN45" i="23183"/>
  <c r="AI45" i="23183"/>
  <c r="V45" i="23183"/>
  <c r="E45" i="23183"/>
  <c r="BO45" i="23183"/>
  <c r="AJ45" i="23183"/>
  <c r="AR45" i="23183"/>
  <c r="L45" i="23183"/>
  <c r="Q45" i="23183"/>
  <c r="AA45" i="23183"/>
  <c r="AC45" i="23183"/>
  <c r="I45" i="23183"/>
  <c r="AW45" i="23183"/>
  <c r="AM45" i="23183"/>
  <c r="AD45" i="23183"/>
  <c r="J45" i="23183"/>
  <c r="AY45" i="23183"/>
  <c r="AB45" i="23183"/>
  <c r="AE45" i="23183"/>
  <c r="K45" i="23183"/>
  <c r="AH45" i="23183"/>
  <c r="AS45" i="23183"/>
  <c r="S45" i="23183"/>
  <c r="AG45" i="23183"/>
  <c r="O45" i="23183"/>
  <c r="D45" i="23183"/>
  <c r="C45" i="23183"/>
  <c r="D37" i="23183"/>
  <c r="F57" i="23183"/>
  <c r="N49" i="23183"/>
  <c r="AZ73" i="23183"/>
  <c r="AH49" i="23183"/>
  <c r="W33" i="23183"/>
  <c r="AZ45" i="23183"/>
  <c r="AX37" i="23183"/>
  <c r="AL61" i="23183"/>
  <c r="AP37" i="23183"/>
  <c r="J112" i="23184"/>
  <c r="CI61" i="23183"/>
  <c r="AP62" i="23183"/>
  <c r="AD38" i="23183"/>
  <c r="AP81" i="23183"/>
  <c r="CJ81" i="23183"/>
  <c r="BG81" i="23183"/>
  <c r="BM81" i="23183"/>
  <c r="R81" i="23183"/>
  <c r="AK81" i="23183"/>
  <c r="AT81" i="23183"/>
  <c r="C77" i="23184"/>
  <c r="BN81" i="23183"/>
  <c r="AQ81" i="23183"/>
  <c r="AW81" i="23183"/>
  <c r="BP81" i="23183"/>
  <c r="AB81" i="23183"/>
  <c r="BA81" i="23183"/>
  <c r="S81" i="23183"/>
  <c r="AL81" i="23183"/>
  <c r="AZ81" i="23183"/>
  <c r="G81" i="23183"/>
  <c r="Z81" i="23183"/>
  <c r="AS81" i="23183"/>
  <c r="V81" i="23183"/>
  <c r="AH81" i="23183"/>
  <c r="C81" i="23183"/>
  <c r="I81" i="23183"/>
  <c r="AD81" i="23183"/>
  <c r="AU81" i="23183"/>
  <c r="AG81" i="23183"/>
  <c r="N81" i="23183"/>
  <c r="AO81" i="23183"/>
  <c r="AV81" i="23183"/>
  <c r="U81" i="23183"/>
  <c r="D81" i="23183"/>
  <c r="AC81" i="23183"/>
  <c r="AY81" i="23183"/>
  <c r="AJ81" i="23183"/>
  <c r="Q81" i="23183"/>
  <c r="BE81" i="23183"/>
  <c r="F81" i="23183"/>
  <c r="BH81" i="23183"/>
  <c r="AE81" i="23183"/>
  <c r="AI81" i="23183"/>
  <c r="AR81" i="23183"/>
  <c r="L81" i="23183"/>
  <c r="BI81" i="23183"/>
  <c r="W81" i="23183"/>
  <c r="AF81" i="23183"/>
  <c r="M81" i="23183"/>
  <c r="AX81" i="23183"/>
  <c r="K81" i="23183"/>
  <c r="D57" i="23183"/>
  <c r="G49" i="23183"/>
  <c r="Q50" i="23183"/>
  <c r="AG57" i="23183"/>
  <c r="AX73" i="23183"/>
  <c r="AD49" i="23183"/>
  <c r="AP57" i="23183"/>
  <c r="S33" i="23183"/>
  <c r="V69" i="23183"/>
  <c r="AK69" i="23183"/>
  <c r="BF21" i="23183"/>
  <c r="BM57" i="23183"/>
  <c r="BF69" i="23183"/>
  <c r="Z111" i="23184"/>
  <c r="J87" i="23184"/>
  <c r="BR83" i="23183"/>
  <c r="CP83" i="23183"/>
  <c r="AC83" i="23183"/>
  <c r="BM83" i="23183"/>
  <c r="BH83" i="23183"/>
  <c r="Y83" i="23183"/>
  <c r="CO71" i="23183"/>
  <c r="B66" i="23200"/>
  <c r="J66" i="23200" s="1"/>
  <c r="BN71" i="23183"/>
  <c r="BE71" i="23183"/>
  <c r="V71" i="23183"/>
  <c r="CU59" i="23183"/>
  <c r="BD59" i="23183"/>
  <c r="BF59" i="23183"/>
  <c r="CB47" i="23183"/>
  <c r="BJ47" i="23183"/>
  <c r="CO47" i="23183"/>
  <c r="CV47" i="23183"/>
  <c r="CW47" i="23183"/>
  <c r="B42" i="23199"/>
  <c r="B30" i="23199"/>
  <c r="E30" i="23199" s="1"/>
  <c r="BL35" i="23183"/>
  <c r="AH114" i="23184"/>
  <c r="AE114" i="23184"/>
  <c r="AN102" i="23184"/>
  <c r="AE102" i="23184"/>
  <c r="X102" i="23184"/>
  <c r="P102" i="23184"/>
  <c r="AG102" i="23184"/>
  <c r="C52" i="23193"/>
  <c r="BI35" i="23183"/>
  <c r="B86" i="23184"/>
  <c r="BF80" i="23183"/>
  <c r="BD80" i="23183"/>
  <c r="AC80" i="23183"/>
  <c r="BE80" i="23183"/>
  <c r="AE80" i="23183"/>
  <c r="T80" i="23183"/>
  <c r="BN80" i="23183"/>
  <c r="AP80" i="23183"/>
  <c r="V80" i="23183"/>
  <c r="BF68" i="23183"/>
  <c r="BJ68" i="23183"/>
  <c r="AQ68" i="23183"/>
  <c r="AP68" i="23183"/>
  <c r="AN68" i="23183"/>
  <c r="BO56" i="23183"/>
  <c r="BM56" i="23183"/>
  <c r="BH56" i="23183"/>
  <c r="BM44" i="23183"/>
  <c r="BL44" i="23183"/>
  <c r="BO44" i="23183"/>
  <c r="AJ44" i="23183"/>
  <c r="T44" i="23183"/>
  <c r="BG44" i="23183"/>
  <c r="CY44" i="23183"/>
  <c r="BM32" i="23183"/>
  <c r="BC32" i="23183"/>
  <c r="BG32" i="23183"/>
  <c r="BJ32" i="23183"/>
  <c r="BE32" i="23183"/>
  <c r="BF32" i="23183"/>
  <c r="AQ20" i="23183"/>
  <c r="BX20" i="23183"/>
  <c r="X111" i="23184"/>
  <c r="AC111" i="23184"/>
  <c r="AI111" i="23184"/>
  <c r="E111" i="23184"/>
  <c r="V111" i="23184"/>
  <c r="G111" i="23184"/>
  <c r="AF111" i="23184"/>
  <c r="AG111" i="23184"/>
  <c r="Z87" i="23184"/>
  <c r="P87" i="23184"/>
  <c r="V87" i="23184"/>
  <c r="F87" i="23184"/>
  <c r="H87" i="23184"/>
  <c r="M87" i="23184"/>
  <c r="AJ87" i="23184"/>
  <c r="N87" i="23184"/>
  <c r="I87" i="23184"/>
  <c r="AC87" i="23184"/>
  <c r="AM87" i="23184"/>
  <c r="T87" i="23184"/>
  <c r="AI87" i="23184"/>
  <c r="E87" i="23184"/>
  <c r="X87" i="23184"/>
  <c r="BM71" i="23183"/>
  <c r="AC102" i="23184"/>
  <c r="AB87" i="23184"/>
  <c r="AL47" i="23183"/>
  <c r="CW20" i="23183"/>
  <c r="BE59" i="23183"/>
  <c r="BC44" i="23183"/>
  <c r="G87" i="23184"/>
  <c r="AF87" i="23184"/>
  <c r="BS20" i="23183"/>
  <c r="AI83" i="23183"/>
  <c r="AP59" i="23183"/>
  <c r="BO59" i="23183"/>
  <c r="BC83" i="23183"/>
  <c r="BK44" i="23183"/>
  <c r="AE87" i="23184"/>
  <c r="C31" i="23184"/>
  <c r="AN114" i="23184"/>
  <c r="B101" i="23184"/>
  <c r="M111" i="23184"/>
  <c r="CN18" i="23183"/>
  <c r="CC18" i="23183"/>
  <c r="BK18" i="23183"/>
  <c r="X18" i="23183"/>
  <c r="V18" i="23183"/>
  <c r="CK18" i="23183"/>
  <c r="BT18" i="23183"/>
  <c r="BD18" i="23183"/>
  <c r="AD18" i="23183"/>
  <c r="AB18" i="23183"/>
  <c r="BX18" i="23183"/>
  <c r="CG18" i="23183"/>
  <c r="AL18" i="23183"/>
  <c r="CV18" i="23183"/>
  <c r="BS18" i="23183"/>
  <c r="AG18" i="23183"/>
  <c r="AO18" i="23183"/>
  <c r="AH18" i="23183"/>
  <c r="BC18" i="23183"/>
  <c r="BO18" i="23183"/>
  <c r="AQ18" i="23183"/>
  <c r="BI18" i="23183"/>
  <c r="AF18" i="23183"/>
  <c r="AP18" i="23183"/>
  <c r="AN18" i="23183"/>
  <c r="B13" i="23199"/>
  <c r="E13" i="23199" s="1"/>
  <c r="BQ18" i="23183"/>
  <c r="CK76" i="23183"/>
  <c r="BE76" i="23183"/>
  <c r="AB76" i="23183"/>
  <c r="AM76" i="23183"/>
  <c r="AK76" i="23183"/>
  <c r="BG76" i="23183"/>
  <c r="B71" i="23199"/>
  <c r="BO76" i="23183"/>
  <c r="AF76" i="23183"/>
  <c r="Y76" i="23183"/>
  <c r="BH76" i="23183"/>
  <c r="BJ76" i="23183"/>
  <c r="C72" i="23184"/>
  <c r="BP76" i="23183"/>
  <c r="W76" i="23183"/>
  <c r="R76" i="23183"/>
  <c r="CR64" i="23183"/>
  <c r="BF64" i="23183"/>
  <c r="AP64" i="23183"/>
  <c r="BH64" i="23183"/>
  <c r="AB64" i="23183"/>
  <c r="Z64" i="23183"/>
  <c r="CZ64" i="23183"/>
  <c r="BD64" i="23183"/>
  <c r="AA64" i="23183"/>
  <c r="X64" i="23183"/>
  <c r="BX64" i="23183"/>
  <c r="BE64" i="23183"/>
  <c r="BN64" i="23183"/>
  <c r="BJ64" i="23183"/>
  <c r="BQ52" i="23183"/>
  <c r="CZ52" i="23183"/>
  <c r="BF52" i="23183"/>
  <c r="R52" i="23183"/>
  <c r="BV52" i="23183"/>
  <c r="BH52" i="23183"/>
  <c r="BD52" i="23183"/>
  <c r="B47" i="23201"/>
  <c r="AC52" i="23183"/>
  <c r="BO52" i="23183"/>
  <c r="BJ52" i="23183"/>
  <c r="B35" i="23199"/>
  <c r="G35" i="23199" s="1"/>
  <c r="B35" i="23201"/>
  <c r="BE40" i="23183"/>
  <c r="BG40" i="23183"/>
  <c r="BO40" i="23183"/>
  <c r="CL40" i="23183"/>
  <c r="BD40" i="23183"/>
  <c r="BF40" i="23183"/>
  <c r="BM40" i="23183"/>
  <c r="BX40" i="23183"/>
  <c r="V40" i="23183"/>
  <c r="CJ28" i="23183"/>
  <c r="BE28" i="23183"/>
  <c r="BG28" i="23183"/>
  <c r="CW28" i="23183"/>
  <c r="BC28" i="23183"/>
  <c r="BH28" i="23183"/>
  <c r="CV28" i="23183"/>
  <c r="BJ28" i="23183"/>
  <c r="BD28" i="23183"/>
  <c r="AL119" i="23184"/>
  <c r="U119" i="23184"/>
  <c r="L119" i="23184"/>
  <c r="K119" i="23184"/>
  <c r="T119" i="23184"/>
  <c r="AD119" i="23184"/>
  <c r="Z119" i="23184"/>
  <c r="E119" i="23184"/>
  <c r="AK119" i="23184"/>
  <c r="AF119" i="23184"/>
  <c r="F119" i="23184"/>
  <c r="AH119" i="23184"/>
  <c r="O119" i="23184"/>
  <c r="AA119" i="23184"/>
  <c r="AJ119" i="23184"/>
  <c r="M107" i="23184"/>
  <c r="X107" i="23184"/>
  <c r="AK107" i="23184"/>
  <c r="AA107" i="23184"/>
  <c r="L107" i="23184"/>
  <c r="AD107" i="23184"/>
  <c r="U107" i="23184"/>
  <c r="AF107" i="23184"/>
  <c r="E107" i="23184"/>
  <c r="AM54" i="23183"/>
  <c r="AP54" i="23183"/>
  <c r="R46" i="23183"/>
  <c r="AW58" i="23183"/>
  <c r="R54" i="23183"/>
  <c r="Y78" i="23183"/>
  <c r="AM82" i="23183"/>
  <c r="BJ30" i="23183"/>
  <c r="BO54" i="23183"/>
  <c r="BO66" i="23183"/>
  <c r="BC78" i="23183"/>
  <c r="BP30" i="23183"/>
  <c r="BN42" i="23183"/>
  <c r="G86" i="23184"/>
  <c r="E89" i="23184"/>
  <c r="AI97" i="23184"/>
  <c r="Y97" i="23184"/>
  <c r="AG109" i="23184"/>
  <c r="AA121" i="23184"/>
  <c r="AB109" i="23184"/>
  <c r="AB86" i="23184"/>
  <c r="Z98" i="23184"/>
  <c r="U97" i="23184"/>
  <c r="AO86" i="23184"/>
  <c r="CO54" i="23183"/>
  <c r="AI78" i="23183"/>
  <c r="AE34" i="23183"/>
  <c r="AT70" i="23183"/>
  <c r="R66" i="23183"/>
  <c r="AL82" i="23183"/>
  <c r="AJ66" i="23183"/>
  <c r="BK54" i="23183"/>
  <c r="BL66" i="23183"/>
  <c r="S78" i="23183"/>
  <c r="BM30" i="23183"/>
  <c r="BK42" i="23183"/>
  <c r="BM58" i="23183"/>
  <c r="B97" i="23184"/>
  <c r="M101" i="23184"/>
  <c r="AD97" i="23184"/>
  <c r="AD109" i="23184"/>
  <c r="AD121" i="23184"/>
  <c r="AF86" i="23184"/>
  <c r="B61" i="23199"/>
  <c r="G61" i="23199" s="1"/>
  <c r="BY78" i="23183"/>
  <c r="BF46" i="23183"/>
  <c r="BJ46" i="23183"/>
  <c r="AC46" i="23183"/>
  <c r="BW22" i="23183"/>
  <c r="BG22" i="23183"/>
  <c r="BD22" i="23183"/>
  <c r="BF22" i="23183"/>
  <c r="AE89" i="23184"/>
  <c r="O89" i="23184"/>
  <c r="BI66" i="23183"/>
  <c r="BG42" i="23183"/>
  <c r="G101" i="23184"/>
  <c r="B120" i="23184"/>
  <c r="AC89" i="23184"/>
  <c r="AL98" i="23184"/>
  <c r="J98" i="23184"/>
  <c r="AI98" i="23184"/>
  <c r="AD98" i="23184"/>
  <c r="H98" i="23184"/>
  <c r="P98" i="23184"/>
  <c r="F98" i="23184"/>
  <c r="AK86" i="23184"/>
  <c r="AM86" i="23184"/>
  <c r="I86" i="23184"/>
  <c r="N86" i="23184"/>
  <c r="K86" i="23184"/>
  <c r="AI86" i="23184"/>
  <c r="O86" i="23184"/>
  <c r="U86" i="23184"/>
  <c r="AJ86" i="23184"/>
  <c r="BH78" i="23183"/>
  <c r="BK78" i="23183"/>
  <c r="BI78" i="23183"/>
  <c r="BM78" i="23183"/>
  <c r="CK78" i="23183"/>
  <c r="BF78" i="23183"/>
  <c r="AL78" i="23183"/>
  <c r="CL66" i="23183"/>
  <c r="BX66" i="23183"/>
  <c r="BK66" i="23183"/>
  <c r="V66" i="23183"/>
  <c r="BM66" i="23183"/>
  <c r="U66" i="23183"/>
  <c r="BF66" i="23183"/>
  <c r="BY54" i="23183"/>
  <c r="BC54" i="23183"/>
  <c r="BQ54" i="23183"/>
  <c r="BD54" i="23183"/>
  <c r="BL54" i="23183"/>
  <c r="W54" i="23183"/>
  <c r="BP42" i="23183"/>
  <c r="BF42" i="23183"/>
  <c r="BC42" i="23183"/>
  <c r="CZ30" i="23183"/>
  <c r="BD30" i="23183"/>
  <c r="BE30" i="23183"/>
  <c r="CR30" i="23183"/>
  <c r="BN30" i="23183"/>
  <c r="AE121" i="23184"/>
  <c r="I121" i="23184"/>
  <c r="Z121" i="23184"/>
  <c r="AS121" i="23184"/>
  <c r="AG121" i="23184"/>
  <c r="K121" i="23184"/>
  <c r="AP109" i="23184"/>
  <c r="N109" i="23184"/>
  <c r="AA109" i="23184"/>
  <c r="Q109" i="23184"/>
  <c r="I109" i="23184"/>
  <c r="Y109" i="23184"/>
  <c r="G109" i="23184"/>
  <c r="H109" i="23184"/>
  <c r="Z97" i="23184"/>
  <c r="M97" i="23184"/>
  <c r="X97" i="23184"/>
  <c r="AF97" i="23184"/>
  <c r="C255" i="23198"/>
  <c r="D254" i="23198" s="1"/>
  <c r="AV58" i="23183"/>
  <c r="X58" i="23183"/>
  <c r="X78" i="23183"/>
  <c r="X54" i="23183"/>
  <c r="BG78" i="23183"/>
  <c r="BE54" i="23183"/>
  <c r="BP66" i="23183"/>
  <c r="BD78" i="23183"/>
  <c r="BG70" i="23183"/>
  <c r="BG30" i="23183"/>
  <c r="BD42" i="23183"/>
  <c r="E86" i="23184"/>
  <c r="Q97" i="23184"/>
  <c r="AI109" i="23184"/>
  <c r="AJ121" i="23184"/>
  <c r="X86" i="23184"/>
  <c r="N98" i="23184"/>
  <c r="BX54" i="23183"/>
  <c r="E89" i="23198"/>
  <c r="F88" i="23198" s="1"/>
  <c r="E138" i="23198"/>
  <c r="F137" i="23198" s="1"/>
  <c r="J12" i="23206"/>
  <c r="E165" i="23198"/>
  <c r="F163" i="23198" s="1"/>
  <c r="R24" i="23183"/>
  <c r="M93" i="23184"/>
  <c r="Q93" i="23184"/>
  <c r="K93" i="23184"/>
  <c r="AG93" i="23184"/>
  <c r="O72" i="23183"/>
  <c r="Q72" i="23183"/>
  <c r="Q84" i="23183"/>
  <c r="AI84" i="23183"/>
  <c r="AW60" i="23183"/>
  <c r="AC24" i="23183"/>
  <c r="BN84" i="23183"/>
  <c r="F115" i="23184"/>
  <c r="CR48" i="23183"/>
  <c r="CB48" i="23183"/>
  <c r="BJ48" i="23183"/>
  <c r="BH48" i="23183"/>
  <c r="BL48" i="23183"/>
  <c r="AA48" i="23183"/>
  <c r="AJ48" i="23183"/>
  <c r="AM48" i="23183"/>
  <c r="O48" i="23183"/>
  <c r="AD48" i="23183"/>
  <c r="G48" i="23183"/>
  <c r="BN48" i="23183"/>
  <c r="AP48" i="23183"/>
  <c r="H48" i="23183"/>
  <c r="AY48" i="23183"/>
  <c r="K48" i="23183"/>
  <c r="AV48" i="23183"/>
  <c r="F48" i="23183"/>
  <c r="L48" i="23183"/>
  <c r="C48" i="23183"/>
  <c r="T48" i="23183"/>
  <c r="Q48" i="23183"/>
  <c r="M48" i="23183"/>
  <c r="BA48" i="23183"/>
  <c r="U48" i="23183"/>
  <c r="BK48" i="23183"/>
  <c r="Z48" i="23183"/>
  <c r="W48" i="23183"/>
  <c r="C54" i="23193"/>
  <c r="C72" i="23183"/>
  <c r="S24" i="23183"/>
  <c r="Q91" i="23184"/>
  <c r="AN115" i="23184"/>
  <c r="BQ84" i="23183"/>
  <c r="BJ84" i="23183"/>
  <c r="BY84" i="23183"/>
  <c r="BC84" i="23183"/>
  <c r="AP84" i="23183"/>
  <c r="W84" i="23183"/>
  <c r="M84" i="23183"/>
  <c r="BO84" i="23183"/>
  <c r="AD84" i="23183"/>
  <c r="L84" i="23183"/>
  <c r="AZ84" i="23183"/>
  <c r="AK84" i="23183"/>
  <c r="AH84" i="23183"/>
  <c r="AO84" i="23183"/>
  <c r="AB84" i="23183"/>
  <c r="BA84" i="23183"/>
  <c r="AR84" i="23183"/>
  <c r="AC84" i="23183"/>
  <c r="AT84" i="23183"/>
  <c r="H84" i="23183"/>
  <c r="AF84" i="23183"/>
  <c r="AX84" i="23183"/>
  <c r="E84" i="23183"/>
  <c r="P84" i="23183"/>
  <c r="T84" i="23183"/>
  <c r="AY84" i="23183"/>
  <c r="F84" i="23183"/>
  <c r="BM84" i="23183"/>
  <c r="AN48" i="23183"/>
  <c r="AQ84" i="23183"/>
  <c r="H93" i="23184"/>
  <c r="AB91" i="23184"/>
  <c r="BM82" i="23183"/>
  <c r="BF82" i="23183"/>
  <c r="CL82" i="23183"/>
  <c r="CM82" i="23183"/>
  <c r="BU82" i="23183"/>
  <c r="BV82" i="23183"/>
  <c r="CK82" i="23183"/>
  <c r="BG82" i="23183"/>
  <c r="BA82" i="23183"/>
  <c r="O82" i="23183"/>
  <c r="BH82" i="23183"/>
  <c r="AK82" i="23183"/>
  <c r="AT82" i="23183"/>
  <c r="C82" i="23183"/>
  <c r="BI82" i="23183"/>
  <c r="BN82" i="23183"/>
  <c r="Y82" i="23183"/>
  <c r="AJ82" i="23183"/>
  <c r="AU82" i="23183"/>
  <c r="P82" i="23183"/>
  <c r="BJ82" i="23183"/>
  <c r="AB82" i="23183"/>
  <c r="AV82" i="23183"/>
  <c r="AO82" i="23183"/>
  <c r="D82" i="23183"/>
  <c r="N82" i="23183"/>
  <c r="CA82" i="23183"/>
  <c r="AS82" i="23183"/>
  <c r="AH82" i="23183"/>
  <c r="AE82" i="23183"/>
  <c r="AC82" i="23183"/>
  <c r="Q82" i="23183"/>
  <c r="V82" i="23183"/>
  <c r="AG82" i="23183"/>
  <c r="M82" i="23183"/>
  <c r="X82" i="23183"/>
  <c r="AI82" i="23183"/>
  <c r="U82" i="23183"/>
  <c r="H82" i="23183"/>
  <c r="BO82" i="23183"/>
  <c r="BK82" i="23183"/>
  <c r="AN82" i="23183"/>
  <c r="AA82" i="23183"/>
  <c r="AW82" i="23183"/>
  <c r="S82" i="23183"/>
  <c r="K82" i="23183"/>
  <c r="G82" i="23183"/>
  <c r="BP82" i="23183"/>
  <c r="Z82" i="23183"/>
  <c r="AY82" i="23183"/>
  <c r="AF82" i="23183"/>
  <c r="AQ82" i="23183"/>
  <c r="AD82" i="23183"/>
  <c r="F82" i="23183"/>
  <c r="CT70" i="23183"/>
  <c r="B65" i="23199"/>
  <c r="CA70" i="23183"/>
  <c r="BP70" i="23183"/>
  <c r="CM70" i="23183"/>
  <c r="BE70" i="23183"/>
  <c r="CU70" i="23183"/>
  <c r="BW70" i="23183"/>
  <c r="B65" i="23201"/>
  <c r="BJ70" i="23183"/>
  <c r="BM70" i="23183"/>
  <c r="V70" i="23183"/>
  <c r="AU70" i="23183"/>
  <c r="H70" i="23183"/>
  <c r="CX70" i="23183"/>
  <c r="BL70" i="23183"/>
  <c r="AJ70" i="23183"/>
  <c r="AV70" i="23183"/>
  <c r="AF70" i="23183"/>
  <c r="AC70" i="23183"/>
  <c r="I70" i="23183"/>
  <c r="BU70" i="23183"/>
  <c r="U70" i="23183"/>
  <c r="BK70" i="23183"/>
  <c r="AA70" i="23183"/>
  <c r="K70" i="23183"/>
  <c r="BC70" i="23183"/>
  <c r="AM70" i="23183"/>
  <c r="AI70" i="23183"/>
  <c r="AD70" i="23183"/>
  <c r="J70" i="23183"/>
  <c r="BO70" i="23183"/>
  <c r="AP70" i="23183"/>
  <c r="AB70" i="23183"/>
  <c r="T70" i="23183"/>
  <c r="D70" i="23183"/>
  <c r="BD70" i="23183"/>
  <c r="L70" i="23183"/>
  <c r="AN70" i="23183"/>
  <c r="N70" i="23183"/>
  <c r="BF70" i="23183"/>
  <c r="AL70" i="23183"/>
  <c r="AW70" i="23183"/>
  <c r="AS70" i="23183"/>
  <c r="F70" i="23183"/>
  <c r="O70" i="23183"/>
  <c r="BH70" i="23183"/>
  <c r="Y70" i="23183"/>
  <c r="X70" i="23183"/>
  <c r="AY70" i="23183"/>
  <c r="AE70" i="23183"/>
  <c r="R70" i="23183"/>
  <c r="C70" i="23183"/>
  <c r="BA70" i="23183"/>
  <c r="Z70" i="23183"/>
  <c r="E70" i="23183"/>
  <c r="CP58" i="23183"/>
  <c r="BF58" i="23183"/>
  <c r="BP58" i="23183"/>
  <c r="BE58" i="23183"/>
  <c r="CO58" i="23183"/>
  <c r="CQ58" i="23183"/>
  <c r="BK58" i="23183"/>
  <c r="BY58" i="23183"/>
  <c r="B53" i="23200"/>
  <c r="M53" i="23200" s="1"/>
  <c r="BL58" i="23183"/>
  <c r="AB58" i="23183"/>
  <c r="AX58" i="23183"/>
  <c r="S58" i="23183"/>
  <c r="P58" i="23183"/>
  <c r="O58" i="23183"/>
  <c r="U58" i="23183"/>
  <c r="AP58" i="23183"/>
  <c r="AY58" i="23183"/>
  <c r="AG58" i="23183"/>
  <c r="BC58" i="23183"/>
  <c r="AZ58" i="23183"/>
  <c r="AS58" i="23183"/>
  <c r="AK58" i="23183"/>
  <c r="N58" i="23183"/>
  <c r="BO58" i="23183"/>
  <c r="Y58" i="23183"/>
  <c r="BA58" i="23183"/>
  <c r="V58" i="23183"/>
  <c r="AO58" i="23183"/>
  <c r="AH58" i="23183"/>
  <c r="M58" i="23183"/>
  <c r="L58" i="23183"/>
  <c r="E58" i="23183"/>
  <c r="BD58" i="23183"/>
  <c r="AT58" i="23183"/>
  <c r="AI58" i="23183"/>
  <c r="Q58" i="23183"/>
  <c r="BG58" i="23183"/>
  <c r="AA58" i="23183"/>
  <c r="AU58" i="23183"/>
  <c r="W58" i="23183"/>
  <c r="F58" i="23183"/>
  <c r="BH58" i="23183"/>
  <c r="T58" i="23183"/>
  <c r="AJ58" i="23183"/>
  <c r="AN58" i="23183"/>
  <c r="C58" i="23183"/>
  <c r="BJ58" i="23183"/>
  <c r="BN58" i="23183"/>
  <c r="AQ58" i="23183"/>
  <c r="AR58" i="23183"/>
  <c r="AM58" i="23183"/>
  <c r="AL58" i="23183"/>
  <c r="H58" i="23183"/>
  <c r="G58" i="23183"/>
  <c r="R58" i="23183"/>
  <c r="J58" i="23183"/>
  <c r="CW46" i="23183"/>
  <c r="CP46" i="23183"/>
  <c r="CB46" i="23183"/>
  <c r="BO46" i="23183"/>
  <c r="CV46" i="23183"/>
  <c r="BK46" i="23183"/>
  <c r="AY46" i="23183"/>
  <c r="AI46" i="23183"/>
  <c r="AN46" i="23183"/>
  <c r="O46" i="23183"/>
  <c r="P46" i="23183"/>
  <c r="BL46" i="23183"/>
  <c r="AQ46" i="23183"/>
  <c r="AZ46" i="23183"/>
  <c r="X46" i="23183"/>
  <c r="S46" i="23183"/>
  <c r="N46" i="23183"/>
  <c r="AA46" i="23183"/>
  <c r="BM46" i="23183"/>
  <c r="BA46" i="23183"/>
  <c r="AJ46" i="23183"/>
  <c r="AO46" i="23183"/>
  <c r="E46" i="23183"/>
  <c r="CO46" i="23183"/>
  <c r="BC46" i="23183"/>
  <c r="AB46" i="23183"/>
  <c r="AT46" i="23183"/>
  <c r="Y46" i="23183"/>
  <c r="V46" i="23183"/>
  <c r="M46" i="23183"/>
  <c r="Q46" i="23183"/>
  <c r="CD46" i="23183"/>
  <c r="C42" i="23184"/>
  <c r="Q42" i="23184" s="1"/>
  <c r="BD46" i="23183"/>
  <c r="AU46" i="23183"/>
  <c r="AK46" i="23183"/>
  <c r="AP46" i="23183"/>
  <c r="F46" i="23183"/>
  <c r="CA46" i="23183"/>
  <c r="BP46" i="23183"/>
  <c r="T46" i="23183"/>
  <c r="AS46" i="23183"/>
  <c r="G46" i="23183"/>
  <c r="BE46" i="23183"/>
  <c r="AF46" i="23183"/>
  <c r="AD46" i="23183"/>
  <c r="H46" i="23183"/>
  <c r="BG46" i="23183"/>
  <c r="AV46" i="23183"/>
  <c r="AH46" i="23183"/>
  <c r="I46" i="23183"/>
  <c r="BI46" i="23183"/>
  <c r="AW46" i="23183"/>
  <c r="AG46" i="23183"/>
  <c r="AM46" i="23183"/>
  <c r="Z46" i="23183"/>
  <c r="K46" i="23183"/>
  <c r="CG34" i="23183"/>
  <c r="BO34" i="23183"/>
  <c r="BM34" i="23183"/>
  <c r="CR34" i="23183"/>
  <c r="CA34" i="23183"/>
  <c r="CZ34" i="23183"/>
  <c r="BE34" i="23183"/>
  <c r="BG34" i="23183"/>
  <c r="BN34" i="23183"/>
  <c r="B29" i="23199"/>
  <c r="C29" i="23199" s="1"/>
  <c r="AD34" i="23183"/>
  <c r="AV34" i="23183"/>
  <c r="AG34" i="23183"/>
  <c r="J34" i="23183"/>
  <c r="AP34" i="23183"/>
  <c r="W34" i="23183"/>
  <c r="AJ34" i="23183"/>
  <c r="N34" i="23183"/>
  <c r="M34" i="23183"/>
  <c r="BC34" i="23183"/>
  <c r="AZ34" i="23183"/>
  <c r="AL34" i="23183"/>
  <c r="AR34" i="23183"/>
  <c r="E34" i="23183"/>
  <c r="O34" i="23183"/>
  <c r="BD34" i="23183"/>
  <c r="BA34" i="23183"/>
  <c r="AS34" i="23183"/>
  <c r="U34" i="23183"/>
  <c r="AB34" i="23183"/>
  <c r="Q34" i="23183"/>
  <c r="P34" i="23183"/>
  <c r="BP34" i="23183"/>
  <c r="AT34" i="23183"/>
  <c r="X34" i="23183"/>
  <c r="F34" i="23183"/>
  <c r="C30" i="23184"/>
  <c r="AA30" i="23184" s="1"/>
  <c r="BH34" i="23183"/>
  <c r="Z34" i="23183"/>
  <c r="AU34" i="23183"/>
  <c r="AM34" i="23183"/>
  <c r="G34" i="23183"/>
  <c r="CH34" i="23183"/>
  <c r="BJ34" i="23183"/>
  <c r="AW34" i="23183"/>
  <c r="S34" i="23183"/>
  <c r="Y34" i="23183"/>
  <c r="H34" i="23183"/>
  <c r="B29" i="23201"/>
  <c r="BL34" i="23183"/>
  <c r="AC34" i="23183"/>
  <c r="T34" i="23183"/>
  <c r="AA34" i="23183"/>
  <c r="L34" i="23183"/>
  <c r="AY34" i="23183"/>
  <c r="V34" i="23183"/>
  <c r="AF34" i="23183"/>
  <c r="D34" i="23183"/>
  <c r="CL22" i="23183"/>
  <c r="CV22" i="23183"/>
  <c r="CU22" i="23183"/>
  <c r="CO22" i="23183"/>
  <c r="CC22" i="23183"/>
  <c r="BR22" i="23183"/>
  <c r="CM22" i="23183"/>
  <c r="BM22" i="23183"/>
  <c r="W22" i="23183"/>
  <c r="I22" i="23183"/>
  <c r="H22" i="23183"/>
  <c r="BL22" i="23183"/>
  <c r="BI22" i="23183"/>
  <c r="V22" i="23183"/>
  <c r="G22" i="23183"/>
  <c r="BH22" i="23183"/>
  <c r="BO22" i="23183"/>
  <c r="AR22" i="23183"/>
  <c r="AM22" i="23183"/>
  <c r="F22" i="23183"/>
  <c r="BZ22" i="23183"/>
  <c r="AE22" i="23183"/>
  <c r="S22" i="23183"/>
  <c r="R22" i="23183"/>
  <c r="AW22" i="23183"/>
  <c r="AA22" i="23183"/>
  <c r="D22" i="23183"/>
  <c r="E22" i="23183"/>
  <c r="BV22" i="23183"/>
  <c r="BJ22" i="23183"/>
  <c r="U22" i="23183"/>
  <c r="AP22" i="23183"/>
  <c r="AH22" i="23183"/>
  <c r="AG22" i="23183"/>
  <c r="AX22" i="23183"/>
  <c r="AK22" i="23183"/>
  <c r="AL22" i="23183"/>
  <c r="P22" i="23183"/>
  <c r="C18" i="23184"/>
  <c r="B17" i="23184" s="1"/>
  <c r="BC22" i="23183"/>
  <c r="AV22" i="23183"/>
  <c r="Y22" i="23183"/>
  <c r="Z22" i="23183"/>
  <c r="C22" i="23183"/>
  <c r="BE22" i="23183"/>
  <c r="AQ22" i="23183"/>
  <c r="AC22" i="23183"/>
  <c r="AN22" i="23183"/>
  <c r="M22" i="23183"/>
  <c r="AF22" i="23183"/>
  <c r="AJ22" i="23183"/>
  <c r="K22" i="23183"/>
  <c r="P113" i="23184"/>
  <c r="AC113" i="23184"/>
  <c r="AF113" i="23184"/>
  <c r="AJ113" i="23184"/>
  <c r="AH113" i="23184"/>
  <c r="AL113" i="23184"/>
  <c r="AA113" i="23184"/>
  <c r="F113" i="23184"/>
  <c r="Y113" i="23184"/>
  <c r="E113" i="23184"/>
  <c r="B112" i="23184"/>
  <c r="X113" i="23184"/>
  <c r="AB113" i="23184"/>
  <c r="Q113" i="23184"/>
  <c r="I113" i="23184"/>
  <c r="AD113" i="23184"/>
  <c r="AG113" i="23184"/>
  <c r="AI113" i="23184"/>
  <c r="G113" i="23184"/>
  <c r="V113" i="23184"/>
  <c r="AE113" i="23184"/>
  <c r="H113" i="23184"/>
  <c r="AV101" i="23184"/>
  <c r="AI101" i="23184"/>
  <c r="B100" i="23184"/>
  <c r="AE101" i="23184"/>
  <c r="AA101" i="23184"/>
  <c r="Z101" i="23184"/>
  <c r="I101" i="23184"/>
  <c r="K101" i="23184"/>
  <c r="AL101" i="23184"/>
  <c r="AC101" i="23184"/>
  <c r="E101" i="23184"/>
  <c r="F101" i="23184"/>
  <c r="AH101" i="23184"/>
  <c r="O101" i="23184"/>
  <c r="AD101" i="23184"/>
  <c r="AJ101" i="23184"/>
  <c r="V101" i="23184"/>
  <c r="AG101" i="23184"/>
  <c r="Y101" i="23184"/>
  <c r="Q101" i="23184"/>
  <c r="CJ60" i="23183"/>
  <c r="BS60" i="23183"/>
  <c r="CE60" i="23183"/>
  <c r="CW60" i="23183"/>
  <c r="BE60" i="23183"/>
  <c r="BM60" i="23183"/>
  <c r="AB60" i="23183"/>
  <c r="AL60" i="23183"/>
  <c r="N60" i="23183"/>
  <c r="H60" i="23183"/>
  <c r="BN60" i="23183"/>
  <c r="AA60" i="23183"/>
  <c r="AO60" i="23183"/>
  <c r="AS60" i="23183"/>
  <c r="K60" i="23183"/>
  <c r="BP60" i="23183"/>
  <c r="AF60" i="23183"/>
  <c r="AY60" i="23183"/>
  <c r="F60" i="23183"/>
  <c r="P60" i="23183"/>
  <c r="O60" i="23183"/>
  <c r="L60" i="23183"/>
  <c r="BD60" i="23183"/>
  <c r="AD60" i="23183"/>
  <c r="AQ60" i="23183"/>
  <c r="CD60" i="23183"/>
  <c r="AV60" i="23183"/>
  <c r="J60" i="23183"/>
  <c r="T60" i="23183"/>
  <c r="BA60" i="23183"/>
  <c r="AU60" i="23183"/>
  <c r="AM60" i="23183"/>
  <c r="C60" i="23183"/>
  <c r="E60" i="23183"/>
  <c r="AE24" i="23183"/>
  <c r="Z24" i="23183"/>
  <c r="D24" i="23183"/>
  <c r="BG24" i="23183"/>
  <c r="AQ24" i="23183"/>
  <c r="AG24" i="23183"/>
  <c r="P24" i="23183"/>
  <c r="B19" i="23200"/>
  <c r="L19" i="23200" s="1"/>
  <c r="BF24" i="23183"/>
  <c r="T24" i="23183"/>
  <c r="AM24" i="23183"/>
  <c r="E24" i="23183"/>
  <c r="AF24" i="23183"/>
  <c r="AN24" i="23183"/>
  <c r="F24" i="23183"/>
  <c r="AR24" i="23183"/>
  <c r="U24" i="23183"/>
  <c r="H24" i="23183"/>
  <c r="BO24" i="23183"/>
  <c r="BM24" i="23183"/>
  <c r="V24" i="23183"/>
  <c r="I24" i="23183"/>
  <c r="BC24" i="23183"/>
  <c r="AH24" i="23183"/>
  <c r="J24" i="23183"/>
  <c r="AX24" i="23183"/>
  <c r="L24" i="23183"/>
  <c r="AO24" i="23183"/>
  <c r="N24" i="23183"/>
  <c r="M24" i="23183"/>
  <c r="AK48" i="23183"/>
  <c r="F59" i="23184"/>
  <c r="C49" i="23193"/>
  <c r="C53" i="23193"/>
  <c r="K24" i="23183"/>
  <c r="D84" i="23183"/>
  <c r="D60" i="23183"/>
  <c r="AK36" i="23183"/>
  <c r="AL48" i="23183"/>
  <c r="AE72" i="23183"/>
  <c r="M36" i="23183"/>
  <c r="AT48" i="23183"/>
  <c r="K64" i="23200"/>
  <c r="L64" i="23200"/>
  <c r="BT36" i="23183"/>
  <c r="C32" i="23184"/>
  <c r="Y32" i="23184" s="1"/>
  <c r="BF36" i="23183"/>
  <c r="AU36" i="23183"/>
  <c r="AE36" i="23183"/>
  <c r="N36" i="23183"/>
  <c r="W36" i="23183"/>
  <c r="R36" i="23183"/>
  <c r="O36" i="23183"/>
  <c r="E36" i="23183"/>
  <c r="V36" i="23183"/>
  <c r="S36" i="23183"/>
  <c r="Q36" i="23183"/>
  <c r="BO36" i="23183"/>
  <c r="AL36" i="23183"/>
  <c r="T36" i="23183"/>
  <c r="G36" i="23183"/>
  <c r="F36" i="23183"/>
  <c r="C36" i="23183"/>
  <c r="Y36" i="23183"/>
  <c r="U36" i="23183"/>
  <c r="P36" i="23183"/>
  <c r="BN36" i="23183"/>
  <c r="AM36" i="23183"/>
  <c r="Z36" i="23183"/>
  <c r="BD36" i="23183"/>
  <c r="AA36" i="23183"/>
  <c r="AF36" i="23183"/>
  <c r="D36" i="23183"/>
  <c r="I36" i="23183"/>
  <c r="AY36" i="23183"/>
  <c r="J36" i="23183"/>
  <c r="H36" i="23183"/>
  <c r="BA36" i="23183"/>
  <c r="AP36" i="23183"/>
  <c r="L36" i="23183"/>
  <c r="AV91" i="23184"/>
  <c r="V91" i="23184"/>
  <c r="AA91" i="23184"/>
  <c r="O91" i="23184"/>
  <c r="L91" i="23184"/>
  <c r="AJ91" i="23184"/>
  <c r="X91" i="23184"/>
  <c r="AC91" i="23184"/>
  <c r="AG91" i="23184"/>
  <c r="K91" i="23184"/>
  <c r="R91" i="23184"/>
  <c r="AF91" i="23184"/>
  <c r="AD91" i="23184"/>
  <c r="AE91" i="23184"/>
  <c r="F91" i="23184"/>
  <c r="B90" i="23184"/>
  <c r="E91" i="23184"/>
  <c r="I91" i="23184"/>
  <c r="AH91" i="23184"/>
  <c r="AI91" i="23184"/>
  <c r="G91" i="23184"/>
  <c r="Z91" i="23184"/>
  <c r="P91" i="23184"/>
  <c r="N91" i="23184"/>
  <c r="M91" i="23184"/>
  <c r="E58" i="23201"/>
  <c r="K36" i="23183"/>
  <c r="K84" i="23183"/>
  <c r="AB36" i="23183"/>
  <c r="AZ48" i="23183"/>
  <c r="AB23" i="23184"/>
  <c r="N23" i="23184"/>
  <c r="P23" i="23184"/>
  <c r="AH23" i="23184"/>
  <c r="I23" i="23184"/>
  <c r="L23" i="23184"/>
  <c r="F23" i="23184"/>
  <c r="AF23" i="23184"/>
  <c r="Y23" i="23184"/>
  <c r="AC23" i="23184"/>
  <c r="B41" i="23199"/>
  <c r="CG72" i="23183"/>
  <c r="CA72" i="23183"/>
  <c r="BQ72" i="23183"/>
  <c r="CD72" i="23183"/>
  <c r="CK72" i="23183"/>
  <c r="BX72" i="23183"/>
  <c r="AO72" i="23183"/>
  <c r="BA72" i="23183"/>
  <c r="AK72" i="23183"/>
  <c r="J72" i="23183"/>
  <c r="AT72" i="23183"/>
  <c r="N72" i="23183"/>
  <c r="BM72" i="23183"/>
  <c r="AU72" i="23183"/>
  <c r="BC72" i="23183"/>
  <c r="AW72" i="23183"/>
  <c r="AM72" i="23183"/>
  <c r="E72" i="23183"/>
  <c r="BO72" i="23183"/>
  <c r="U72" i="23183"/>
  <c r="Y72" i="23183"/>
  <c r="BD72" i="23183"/>
  <c r="AR72" i="23183"/>
  <c r="AV72" i="23183"/>
  <c r="CC72" i="23183"/>
  <c r="BP72" i="23183"/>
  <c r="AD72" i="23183"/>
  <c r="M72" i="23183"/>
  <c r="AJ72" i="23183"/>
  <c r="AP72" i="23183"/>
  <c r="D72" i="23183"/>
  <c r="I72" i="23183"/>
  <c r="H72" i="23183"/>
  <c r="AP115" i="23184"/>
  <c r="AG115" i="23184"/>
  <c r="AL115" i="23184"/>
  <c r="AD115" i="23184"/>
  <c r="AO115" i="23184"/>
  <c r="AE115" i="23184"/>
  <c r="G115" i="23184"/>
  <c r="S115" i="23184"/>
  <c r="AK115" i="23184"/>
  <c r="T115" i="23184"/>
  <c r="AI115" i="23184"/>
  <c r="P115" i="23184"/>
  <c r="U115" i="23184"/>
  <c r="AJ115" i="23184"/>
  <c r="X115" i="23184"/>
  <c r="AU115" i="23184"/>
  <c r="AF115" i="23184"/>
  <c r="Q115" i="23184"/>
  <c r="AM115" i="23184"/>
  <c r="AS115" i="23184"/>
  <c r="V115" i="23184"/>
  <c r="H115" i="23184"/>
  <c r="M115" i="23184"/>
  <c r="N115" i="23184"/>
  <c r="E115" i="23184"/>
  <c r="B114" i="23184"/>
  <c r="I115" i="23184"/>
  <c r="AH115" i="23184"/>
  <c r="Y115" i="23184"/>
  <c r="Z115" i="23184"/>
  <c r="K115" i="23184"/>
  <c r="AB115" i="23184"/>
  <c r="R115" i="23184"/>
  <c r="O115" i="23184"/>
  <c r="N48" i="23183"/>
  <c r="AO36" i="23183"/>
  <c r="AZ72" i="23183"/>
  <c r="J115" i="23184"/>
  <c r="D22" i="23200"/>
  <c r="E22" i="23200"/>
  <c r="G22" i="23200"/>
  <c r="D23" i="23205"/>
  <c r="J9" i="39"/>
  <c r="L72" i="23183"/>
  <c r="AT36" i="23183"/>
  <c r="AA115" i="23184"/>
  <c r="Q60" i="23183"/>
  <c r="AZ36" i="23183"/>
  <c r="BH60" i="23183"/>
  <c r="AC115" i="23184"/>
  <c r="L104" i="23184"/>
  <c r="J104" i="23184"/>
  <c r="AD102" i="23184"/>
  <c r="Q102" i="23184"/>
  <c r="G102" i="23184"/>
  <c r="AH102" i="23184"/>
  <c r="E102" i="23184"/>
  <c r="AP102" i="23184"/>
  <c r="AJ102" i="23184"/>
  <c r="U102" i="23184"/>
  <c r="J102" i="23184"/>
  <c r="F102" i="23184"/>
  <c r="K102" i="23184"/>
  <c r="AO102" i="23184"/>
  <c r="I102" i="23184"/>
  <c r="L102" i="23184"/>
  <c r="AF102" i="23184"/>
  <c r="AA90" i="23184"/>
  <c r="AV90" i="23184"/>
  <c r="AG90" i="23184"/>
  <c r="BR81" i="23183"/>
  <c r="BF81" i="23183"/>
  <c r="BL81" i="23183"/>
  <c r="Y81" i="23183"/>
  <c r="BJ81" i="23183"/>
  <c r="BT81" i="23183"/>
  <c r="BK81" i="23183"/>
  <c r="BH69" i="23183"/>
  <c r="BU69" i="23183"/>
  <c r="BG69" i="23183"/>
  <c r="CG69" i="23183"/>
  <c r="BI69" i="23183"/>
  <c r="BO69" i="23183"/>
  <c r="BP69" i="23183"/>
  <c r="BZ69" i="23183"/>
  <c r="CW57" i="23183"/>
  <c r="BH57" i="23183"/>
  <c r="BI57" i="23183"/>
  <c r="CR57" i="23183"/>
  <c r="CJ57" i="23183"/>
  <c r="CV57" i="23183"/>
  <c r="BN57" i="23183"/>
  <c r="BC57" i="23183"/>
  <c r="BJ45" i="23183"/>
  <c r="CF45" i="23183"/>
  <c r="BU45" i="23183"/>
  <c r="CW45" i="23183"/>
  <c r="C41" i="23184"/>
  <c r="BW33" i="23183"/>
  <c r="B28" i="23200"/>
  <c r="BE33" i="23183"/>
  <c r="CW33" i="23183"/>
  <c r="CL33" i="23183"/>
  <c r="CJ21" i="23183"/>
  <c r="CO21" i="23183"/>
  <c r="CG21" i="23183"/>
  <c r="BT21" i="23183"/>
  <c r="BS21" i="23183"/>
  <c r="C17" i="23184"/>
  <c r="R17" i="23184" s="1"/>
  <c r="BU21" i="23183"/>
  <c r="CM21" i="23183"/>
  <c r="CC21" i="23183"/>
  <c r="CK21" i="23183"/>
  <c r="BQ21" i="23183"/>
  <c r="BY21" i="23183"/>
  <c r="BR21" i="23183"/>
  <c r="CW21" i="23183"/>
  <c r="BL21" i="23183"/>
  <c r="CU21" i="23183"/>
  <c r="CQ21" i="23183"/>
  <c r="Y112" i="23184"/>
  <c r="AC112" i="23184"/>
  <c r="K112" i="23184"/>
  <c r="G112" i="23184"/>
  <c r="Z112" i="23184"/>
  <c r="I112" i="23184"/>
  <c r="Q112" i="23184"/>
  <c r="F112" i="23184"/>
  <c r="AE112" i="23184"/>
  <c r="M112" i="23184"/>
  <c r="E112" i="23184"/>
  <c r="AF112" i="23184"/>
  <c r="N112" i="23184"/>
  <c r="AI112" i="23184"/>
  <c r="CS81" i="23183"/>
  <c r="AI102" i="23184"/>
  <c r="AH96" i="23184"/>
  <c r="V96" i="23184"/>
  <c r="L96" i="23184"/>
  <c r="AJ96" i="23184"/>
  <c r="AP107" i="23184"/>
  <c r="AL107" i="23184"/>
  <c r="Q107" i="23184"/>
  <c r="P107" i="23184"/>
  <c r="AB107" i="23184"/>
  <c r="AV107" i="23184"/>
  <c r="T107" i="23184"/>
  <c r="AG107" i="23184"/>
  <c r="S107" i="23184"/>
  <c r="AU107" i="23184"/>
  <c r="AH107" i="23184"/>
  <c r="AN107" i="23184"/>
  <c r="N107" i="23184"/>
  <c r="AC107" i="23184"/>
  <c r="B106" i="23184"/>
  <c r="AM107" i="23184"/>
  <c r="Y107" i="23184"/>
  <c r="F107" i="23184"/>
  <c r="O107" i="23184"/>
  <c r="H107" i="23184"/>
  <c r="K107" i="23184"/>
  <c r="AK96" i="23184"/>
  <c r="AM102" i="23184"/>
  <c r="CA33" i="23183"/>
  <c r="CI87" i="23183"/>
  <c r="CG87" i="23183"/>
  <c r="CK87" i="23183"/>
  <c r="C83" i="23184"/>
  <c r="AA83" i="23184" s="1"/>
  <c r="BH87" i="23183"/>
  <c r="BY87" i="23183"/>
  <c r="BL87" i="23183"/>
  <c r="BM87" i="23183"/>
  <c r="BD87" i="23183"/>
  <c r="BU87" i="23183"/>
  <c r="CO75" i="23183"/>
  <c r="CA75" i="23183"/>
  <c r="BY75" i="23183"/>
  <c r="CR75" i="23183"/>
  <c r="BD75" i="23183"/>
  <c r="BK75" i="23183"/>
  <c r="CU75" i="23183"/>
  <c r="B70" i="23201"/>
  <c r="BX75" i="23183"/>
  <c r="BU75" i="23183"/>
  <c r="CJ75" i="23183"/>
  <c r="CM75" i="23183"/>
  <c r="CB75" i="23183"/>
  <c r="BN75" i="23183"/>
  <c r="CN75" i="23183"/>
  <c r="B70" i="23199"/>
  <c r="CQ75" i="23183"/>
  <c r="CP63" i="23183"/>
  <c r="CF63" i="23183"/>
  <c r="CB63" i="23183"/>
  <c r="BW63" i="23183"/>
  <c r="BP63" i="23183"/>
  <c r="BI63" i="23183"/>
  <c r="CN63" i="23183"/>
  <c r="CI63" i="23183"/>
  <c r="CC63" i="23183"/>
  <c r="CJ63" i="23183"/>
  <c r="CO63" i="23183"/>
  <c r="CK63" i="23183"/>
  <c r="BS63" i="23183"/>
  <c r="CV63" i="23183"/>
  <c r="CE63" i="23183"/>
  <c r="BT63" i="23183"/>
  <c r="CA63" i="23183"/>
  <c r="CS63" i="23183"/>
  <c r="B58" i="23199"/>
  <c r="CK51" i="23183"/>
  <c r="CG51" i="23183"/>
  <c r="CY51" i="23183"/>
  <c r="B46" i="23201"/>
  <c r="F46" i="23201" s="1"/>
  <c r="C46" i="23201" s="1"/>
  <c r="CO51" i="23183"/>
  <c r="B46" i="23199"/>
  <c r="C47" i="23184"/>
  <c r="H47" i="23184" s="1"/>
  <c r="CT51" i="23183"/>
  <c r="CA51" i="23183"/>
  <c r="CD51" i="23183"/>
  <c r="CB51" i="23183"/>
  <c r="CE51" i="23183"/>
  <c r="CV51" i="23183"/>
  <c r="CF51" i="23183"/>
  <c r="CL51" i="23183"/>
  <c r="CT39" i="23183"/>
  <c r="CI39" i="23183"/>
  <c r="B34" i="23199"/>
  <c r="E34" i="23199" s="1"/>
  <c r="CS39" i="23183"/>
  <c r="BV39" i="23183"/>
  <c r="CW39" i="23183"/>
  <c r="CL39" i="23183"/>
  <c r="B34" i="23200"/>
  <c r="L34" i="23200" s="1"/>
  <c r="CM39" i="23183"/>
  <c r="B34" i="23201"/>
  <c r="BQ39" i="23183"/>
  <c r="CX39" i="23183"/>
  <c r="CO39" i="23183"/>
  <c r="CY39" i="23183"/>
  <c r="BP39" i="23183"/>
  <c r="CE39" i="23183"/>
  <c r="BY27" i="23183"/>
  <c r="CO27" i="23183"/>
  <c r="CW27" i="23183"/>
  <c r="BO27" i="23183"/>
  <c r="CV27" i="23183"/>
  <c r="BK27" i="23183"/>
  <c r="CC27" i="23183"/>
  <c r="BL27" i="23183"/>
  <c r="CP27" i="23183"/>
  <c r="CQ27" i="23183"/>
  <c r="BW27" i="23183"/>
  <c r="BD27" i="23183"/>
  <c r="CI27" i="23183"/>
  <c r="BE27" i="23183"/>
  <c r="B22" i="23201"/>
  <c r="F22" i="23201" s="1"/>
  <c r="CG27" i="23183"/>
  <c r="BF27" i="23183"/>
  <c r="CK27" i="23183"/>
  <c r="BI27" i="23183"/>
  <c r="X118" i="23184"/>
  <c r="L118" i="23184"/>
  <c r="AN118" i="23184"/>
  <c r="C60" i="23184"/>
  <c r="B13" i="23200"/>
  <c r="CB40" i="23183"/>
  <c r="CF76" i="23183"/>
  <c r="N114" i="23184"/>
  <c r="M114" i="23184"/>
  <c r="CF18" i="23183"/>
  <c r="BL76" i="23183"/>
  <c r="CJ18" i="23183"/>
  <c r="CB18" i="23183"/>
  <c r="B60" i="23200"/>
  <c r="C60" i="23200" s="1"/>
  <c r="AS86" i="23184"/>
  <c r="R86" i="23184"/>
  <c r="CU40" i="23183"/>
  <c r="CK64" i="23183"/>
  <c r="CZ76" i="23183"/>
  <c r="CW65" i="23183"/>
  <c r="CB78" i="23183"/>
  <c r="P111" i="23184"/>
  <c r="H111" i="23184"/>
  <c r="Q111" i="23184"/>
  <c r="BV18" i="23183"/>
  <c r="CP18" i="23183"/>
  <c r="CU18" i="23183"/>
  <c r="CM18" i="23183"/>
  <c r="B23" i="23200"/>
  <c r="AL109" i="23184"/>
  <c r="U98" i="23184"/>
  <c r="AO109" i="23184"/>
  <c r="CF40" i="23183"/>
  <c r="BV64" i="23183"/>
  <c r="CN76" i="23183"/>
  <c r="CW18" i="23183"/>
  <c r="BK64" i="23183"/>
  <c r="BK76" i="23183"/>
  <c r="BW18" i="23183"/>
  <c r="BY18" i="23183"/>
  <c r="BT40" i="23183"/>
  <c r="CS64" i="23183"/>
  <c r="CL78" i="23183"/>
  <c r="BX78" i="23183"/>
  <c r="CL54" i="23183"/>
  <c r="B49" i="23199"/>
  <c r="G49" i="23199" s="1"/>
  <c r="CC42" i="23183"/>
  <c r="CR42" i="23183"/>
  <c r="CC30" i="23183"/>
  <c r="C26" i="23184"/>
  <c r="AV26" i="23184" s="1"/>
  <c r="AV121" i="23184"/>
  <c r="Y121" i="23184"/>
  <c r="G121" i="23184"/>
  <c r="F121" i="23184"/>
  <c r="CQ40" i="23183"/>
  <c r="CC64" i="23183"/>
  <c r="AN29" i="23183"/>
  <c r="CG29" i="23183"/>
  <c r="H120" i="23184"/>
  <c r="AV120" i="23184"/>
  <c r="T109" i="23184"/>
  <c r="AJ109" i="23184"/>
  <c r="AU98" i="23184"/>
  <c r="Y98" i="23184"/>
  <c r="AV98" i="23184"/>
  <c r="AL86" i="23184"/>
  <c r="AV86" i="23184"/>
  <c r="AH86" i="23184"/>
  <c r="Q86" i="23184"/>
  <c r="M86" i="23184"/>
  <c r="H86" i="23184"/>
  <c r="BZ18" i="23183"/>
  <c r="BU18" i="23183"/>
  <c r="CQ18" i="23183"/>
  <c r="CD18" i="23183"/>
  <c r="CH18" i="23183"/>
  <c r="BY52" i="23183"/>
  <c r="C48" i="23184"/>
  <c r="AP119" i="23184"/>
  <c r="H119" i="23184"/>
  <c r="Y119" i="23184"/>
  <c r="G119" i="23184"/>
  <c r="AV119" i="23184"/>
  <c r="AV108" i="23184"/>
  <c r="K108" i="23184"/>
  <c r="H108" i="23184"/>
  <c r="Q108" i="23184"/>
  <c r="N97" i="23184"/>
  <c r="AG97" i="23184"/>
  <c r="B96" i="23184"/>
  <c r="CO18" i="23183"/>
  <c r="C79" i="23184"/>
  <c r="L79" i="23184" s="1"/>
  <c r="C36" i="23184"/>
  <c r="AV36" i="23184" s="1"/>
  <c r="C38" i="23184"/>
  <c r="B59" i="23201"/>
  <c r="AM109" i="23184"/>
  <c r="S97" i="23184"/>
  <c r="P97" i="23184"/>
  <c r="BT28" i="23183"/>
  <c r="BU52" i="23183"/>
  <c r="BY76" i="23183"/>
  <c r="BT30" i="23183"/>
  <c r="CJ66" i="23183"/>
  <c r="BI40" i="23183"/>
  <c r="BK52" i="23183"/>
  <c r="BM64" i="23183"/>
  <c r="AD64" i="23183"/>
  <c r="AA76" i="23183"/>
  <c r="H97" i="23184"/>
  <c r="F109" i="23184"/>
  <c r="G97" i="23184"/>
  <c r="J119" i="23184"/>
  <c r="AC119" i="23184"/>
  <c r="AH108" i="23184"/>
  <c r="AB97" i="23184"/>
  <c r="V109" i="23184"/>
  <c r="AC109" i="23184"/>
  <c r="L86" i="23184"/>
  <c r="AA86" i="23184"/>
  <c r="O98" i="23184"/>
  <c r="I98" i="23184"/>
  <c r="CL18" i="23183"/>
  <c r="C14" i="23184"/>
  <c r="K14" i="23184" s="1"/>
  <c r="B71" i="23200"/>
  <c r="L71" i="23200" s="1"/>
  <c r="AN86" i="23184"/>
  <c r="AU119" i="23184"/>
  <c r="AK97" i="23184"/>
  <c r="AM121" i="23184"/>
  <c r="S109" i="23184"/>
  <c r="AP86" i="23184"/>
  <c r="AS114" i="23184"/>
  <c r="CQ28" i="23183"/>
  <c r="CR52" i="23183"/>
  <c r="CZ42" i="23183"/>
  <c r="CC66" i="23183"/>
  <c r="C89" i="23198"/>
  <c r="D84" i="23198" s="1"/>
  <c r="AV110" i="23184"/>
  <c r="F89" i="23184"/>
  <c r="AA89" i="23184"/>
  <c r="Z16" i="23208"/>
  <c r="B17" i="23183"/>
  <c r="F15" i="23175"/>
  <c r="E43" i="23183"/>
  <c r="Y31" i="23183"/>
  <c r="S55" i="23183"/>
  <c r="P31" i="23183"/>
  <c r="J55" i="23183"/>
  <c r="F79" i="23183"/>
  <c r="M67" i="23183"/>
  <c r="AO31" i="23183"/>
  <c r="AN43" i="23183"/>
  <c r="AP55" i="23183"/>
  <c r="L67" i="23183"/>
  <c r="AO79" i="23183"/>
  <c r="BQ86" i="23183"/>
  <c r="CU86" i="23183"/>
  <c r="AA86" i="23183"/>
  <c r="CQ86" i="23183"/>
  <c r="CI86" i="23183"/>
  <c r="CL86" i="23183"/>
  <c r="BT86" i="23183"/>
  <c r="CB86" i="23183"/>
  <c r="CH86" i="23183"/>
  <c r="CP86" i="23183"/>
  <c r="CE86" i="23183"/>
  <c r="CF86" i="23183"/>
  <c r="BU86" i="23183"/>
  <c r="BP86" i="23183"/>
  <c r="CW86" i="23183"/>
  <c r="CV86" i="23183"/>
  <c r="BO86" i="23183"/>
  <c r="CO86" i="23183"/>
  <c r="BI86" i="23183"/>
  <c r="BH86" i="23183"/>
  <c r="AN86" i="23183"/>
  <c r="AT86" i="23183"/>
  <c r="CR86" i="23183"/>
  <c r="BK86" i="23183"/>
  <c r="AB86" i="23183"/>
  <c r="AU86" i="23183"/>
  <c r="BX86" i="23183"/>
  <c r="BL86" i="23183"/>
  <c r="BJ86" i="23183"/>
  <c r="AV86" i="23183"/>
  <c r="BC86" i="23183"/>
  <c r="BA86" i="23183"/>
  <c r="T86" i="23183"/>
  <c r="BE86" i="23183"/>
  <c r="AS86" i="23183"/>
  <c r="K86" i="23183"/>
  <c r="CA86" i="23183"/>
  <c r="AL86" i="23183"/>
  <c r="AK86" i="23183"/>
  <c r="AI86" i="23183"/>
  <c r="AQ86" i="23183"/>
  <c r="CY86" i="23183"/>
  <c r="AF86" i="23183"/>
  <c r="S86" i="23183"/>
  <c r="F86" i="23183"/>
  <c r="CG86" i="23183"/>
  <c r="C82" i="23184"/>
  <c r="G86" i="23183"/>
  <c r="D86" i="23183"/>
  <c r="CN86" i="23183"/>
  <c r="C86" i="23183"/>
  <c r="AP86" i="23183"/>
  <c r="Q86" i="23183"/>
  <c r="O86" i="23183"/>
  <c r="L86" i="23183"/>
  <c r="CK86" i="23183"/>
  <c r="AX86" i="23183"/>
  <c r="R86" i="23183"/>
  <c r="AC86" i="23183"/>
  <c r="E86" i="23183"/>
  <c r="I86" i="23183"/>
  <c r="CJ86" i="23183"/>
  <c r="AY86" i="23183"/>
  <c r="AJ86" i="23183"/>
  <c r="U86" i="23183"/>
  <c r="AM86" i="23183"/>
  <c r="N86" i="23183"/>
  <c r="H86" i="23183"/>
  <c r="BF86" i="23183"/>
  <c r="AZ86" i="23183"/>
  <c r="AH86" i="23183"/>
  <c r="AD86" i="23183"/>
  <c r="BS74" i="23183"/>
  <c r="CK74" i="23183"/>
  <c r="CM74" i="23183"/>
  <c r="CR74" i="23183"/>
  <c r="CY74" i="23183"/>
  <c r="BV74" i="23183"/>
  <c r="CO74" i="23183"/>
  <c r="BW74" i="23183"/>
  <c r="CG74" i="23183"/>
  <c r="BY74" i="23183"/>
  <c r="R74" i="23183"/>
  <c r="CB74" i="23183"/>
  <c r="B69" i="23201"/>
  <c r="CZ74" i="23183"/>
  <c r="CT74" i="23183"/>
  <c r="CV74" i="23183"/>
  <c r="BF74" i="23183"/>
  <c r="BZ74" i="23183"/>
  <c r="BP74" i="23183"/>
  <c r="CD74" i="23183"/>
  <c r="CP74" i="23183"/>
  <c r="BO74" i="23183"/>
  <c r="BD74" i="23183"/>
  <c r="CE74" i="23183"/>
  <c r="BM74" i="23183"/>
  <c r="BI74" i="23183"/>
  <c r="BH74" i="23183"/>
  <c r="CI74" i="23183"/>
  <c r="C70" i="23184"/>
  <c r="CX74" i="23183"/>
  <c r="B69" i="23199"/>
  <c r="AH74" i="23183"/>
  <c r="AV74" i="23183"/>
  <c r="CA74" i="23183"/>
  <c r="B69" i="23200"/>
  <c r="I69" i="23200" s="1"/>
  <c r="BL74" i="23183"/>
  <c r="T74" i="23183"/>
  <c r="AA74" i="23183"/>
  <c r="AE74" i="23183"/>
  <c r="AL74" i="23183"/>
  <c r="CQ74" i="23183"/>
  <c r="BJ74" i="23183"/>
  <c r="AM74" i="23183"/>
  <c r="AQ74" i="23183"/>
  <c r="BG74" i="23183"/>
  <c r="AN74" i="23183"/>
  <c r="AR74" i="23183"/>
  <c r="C74" i="23183"/>
  <c r="BT74" i="23183"/>
  <c r="AS74" i="23183"/>
  <c r="AD74" i="23183"/>
  <c r="Q74" i="23183"/>
  <c r="CU74" i="23183"/>
  <c r="AF74" i="23183"/>
  <c r="AJ74" i="23183"/>
  <c r="D74" i="23183"/>
  <c r="BC74" i="23183"/>
  <c r="AW74" i="23183"/>
  <c r="BE74" i="23183"/>
  <c r="AX74" i="23183"/>
  <c r="AC74" i="23183"/>
  <c r="AO74" i="23183"/>
  <c r="AI74" i="23183"/>
  <c r="AG74" i="23183"/>
  <c r="AU74" i="23183"/>
  <c r="U74" i="23183"/>
  <c r="S74" i="23183"/>
  <c r="AB74" i="23183"/>
  <c r="M74" i="23183"/>
  <c r="Y74" i="23183"/>
  <c r="O74" i="23183"/>
  <c r="G74" i="23183"/>
  <c r="I74" i="23183"/>
  <c r="Z74" i="23183"/>
  <c r="BQ62" i="23183"/>
  <c r="CG62" i="23183"/>
  <c r="BZ62" i="23183"/>
  <c r="CW62" i="23183"/>
  <c r="CA62" i="23183"/>
  <c r="BT62" i="23183"/>
  <c r="CB62" i="23183"/>
  <c r="AD62" i="23183"/>
  <c r="BS62" i="23183"/>
  <c r="C58" i="23184"/>
  <c r="BC62" i="23183"/>
  <c r="BV62" i="23183"/>
  <c r="BO62" i="23183"/>
  <c r="BW62" i="23183"/>
  <c r="BG62" i="23183"/>
  <c r="CZ62" i="23183"/>
  <c r="BD62" i="23183"/>
  <c r="CR62" i="23183"/>
  <c r="AH62" i="23183"/>
  <c r="B57" i="23201"/>
  <c r="BM62" i="23183"/>
  <c r="BK62" i="23183"/>
  <c r="BF62" i="23183"/>
  <c r="AT62" i="23183"/>
  <c r="R62" i="23183"/>
  <c r="AF62" i="23183"/>
  <c r="AU62" i="23183"/>
  <c r="B57" i="23199"/>
  <c r="BP62" i="23183"/>
  <c r="AV62" i="23183"/>
  <c r="AR62" i="23183"/>
  <c r="AL62" i="23183"/>
  <c r="AK62" i="23183"/>
  <c r="B57" i="23200"/>
  <c r="AS62" i="23183"/>
  <c r="AC62" i="23183"/>
  <c r="V62" i="23183"/>
  <c r="L62" i="23183"/>
  <c r="S62" i="23183"/>
  <c r="AJ62" i="23183"/>
  <c r="M62" i="23183"/>
  <c r="I62" i="23183"/>
  <c r="AE62" i="23183"/>
  <c r="AO62" i="23183"/>
  <c r="U62" i="23183"/>
  <c r="P62" i="23183"/>
  <c r="C62" i="23183"/>
  <c r="AX62" i="23183"/>
  <c r="BI62" i="23183"/>
  <c r="AY62" i="23183"/>
  <c r="BL62" i="23183"/>
  <c r="Y62" i="23183"/>
  <c r="AI62" i="23183"/>
  <c r="BJ62" i="23183"/>
  <c r="AG62" i="23183"/>
  <c r="Z62" i="23183"/>
  <c r="T62" i="23183"/>
  <c r="F62" i="23183"/>
  <c r="BN62" i="23183"/>
  <c r="BH62" i="23183"/>
  <c r="AW62" i="23183"/>
  <c r="G62" i="23183"/>
  <c r="BA62" i="23183"/>
  <c r="J62" i="23183"/>
  <c r="AM62" i="23183"/>
  <c r="CQ50" i="23183"/>
  <c r="CU50" i="23183"/>
  <c r="CN50" i="23183"/>
  <c r="BQ50" i="23183"/>
  <c r="BU50" i="23183"/>
  <c r="BY50" i="23183"/>
  <c r="CC50" i="23183"/>
  <c r="CG50" i="23183"/>
  <c r="CK50" i="23183"/>
  <c r="CP50" i="23183"/>
  <c r="CT50" i="23183"/>
  <c r="CB50" i="23183"/>
  <c r="CR50" i="23183"/>
  <c r="CL50" i="23183"/>
  <c r="CS50" i="23183"/>
  <c r="CM50" i="23183"/>
  <c r="BV50" i="23183"/>
  <c r="CX50" i="23183"/>
  <c r="CI50" i="23183"/>
  <c r="CO50" i="23183"/>
  <c r="CV50" i="23183"/>
  <c r="C46" i="23184"/>
  <c r="BR50" i="23183"/>
  <c r="CW50" i="23183"/>
  <c r="B45" i="23199"/>
  <c r="CE50" i="23183"/>
  <c r="AF50" i="23183"/>
  <c r="BT50" i="23183"/>
  <c r="AR50" i="23183"/>
  <c r="CF50" i="23183"/>
  <c r="BE50" i="23183"/>
  <c r="AV50" i="23183"/>
  <c r="BX50" i="23183"/>
  <c r="BP50" i="23183"/>
  <c r="AX50" i="23183"/>
  <c r="BW50" i="23183"/>
  <c r="BK50" i="23183"/>
  <c r="R50" i="23183"/>
  <c r="AQ50" i="23183"/>
  <c r="CJ50" i="23183"/>
  <c r="AG50" i="23183"/>
  <c r="AC50" i="23183"/>
  <c r="BZ50" i="23183"/>
  <c r="BG50" i="23183"/>
  <c r="AW50" i="23183"/>
  <c r="S50" i="23183"/>
  <c r="AI50" i="23183"/>
  <c r="AB50" i="23183"/>
  <c r="BL50" i="23183"/>
  <c r="T50" i="23183"/>
  <c r="AO50" i="23183"/>
  <c r="J50" i="23183"/>
  <c r="B45" i="23200"/>
  <c r="L45" i="23200" s="1"/>
  <c r="BH50" i="23183"/>
  <c r="AS50" i="23183"/>
  <c r="AD50" i="23183"/>
  <c r="K50" i="23183"/>
  <c r="Y50" i="23183"/>
  <c r="L50" i="23183"/>
  <c r="BS50" i="23183"/>
  <c r="AH50" i="23183"/>
  <c r="N50" i="23183"/>
  <c r="CH50" i="23183"/>
  <c r="BM50" i="23183"/>
  <c r="V50" i="23183"/>
  <c r="W50" i="23183"/>
  <c r="AL50" i="23183"/>
  <c r="G50" i="23183"/>
  <c r="X50" i="23183"/>
  <c r="AN50" i="23183"/>
  <c r="H50" i="23183"/>
  <c r="O50" i="23183"/>
  <c r="BC50" i="23183"/>
  <c r="BJ50" i="23183"/>
  <c r="BI50" i="23183"/>
  <c r="AA50" i="23183"/>
  <c r="Z50" i="23183"/>
  <c r="D50" i="23183"/>
  <c r="AZ50" i="23183"/>
  <c r="BS38" i="23183"/>
  <c r="CJ38" i="23183"/>
  <c r="CF38" i="23183"/>
  <c r="CL38" i="23183"/>
  <c r="BU38" i="23183"/>
  <c r="CM38" i="23183"/>
  <c r="BQ38" i="23183"/>
  <c r="CI38" i="23183"/>
  <c r="CP38" i="23183"/>
  <c r="CN38" i="23183"/>
  <c r="C34" i="23184"/>
  <c r="L34" i="23184" s="1"/>
  <c r="CE38" i="23183"/>
  <c r="CX38" i="23183"/>
  <c r="CQ38" i="23183"/>
  <c r="CY38" i="23183"/>
  <c r="B33" i="23199"/>
  <c r="BT38" i="23183"/>
  <c r="BV38" i="23183"/>
  <c r="BI38" i="23183"/>
  <c r="BN38" i="23183"/>
  <c r="BM38" i="23183"/>
  <c r="BK38" i="23183"/>
  <c r="BJ38" i="23183"/>
  <c r="BW38" i="23183"/>
  <c r="AM38" i="23183"/>
  <c r="CU38" i="23183"/>
  <c r="BD38" i="23183"/>
  <c r="BC38" i="23183"/>
  <c r="AW38" i="23183"/>
  <c r="W38" i="23183"/>
  <c r="AP38" i="23183"/>
  <c r="BX38" i="23183"/>
  <c r="AX38" i="23183"/>
  <c r="AI38" i="23183"/>
  <c r="S38" i="23183"/>
  <c r="BY38" i="23183"/>
  <c r="AY38" i="23183"/>
  <c r="X38" i="23183"/>
  <c r="AQ38" i="23183"/>
  <c r="U38" i="23183"/>
  <c r="AA38" i="23183"/>
  <c r="E38" i="23183"/>
  <c r="P38" i="23183"/>
  <c r="BE38" i="23183"/>
  <c r="AG38" i="23183"/>
  <c r="AB38" i="23183"/>
  <c r="Q38" i="23183"/>
  <c r="BR38" i="23183"/>
  <c r="B33" i="23200"/>
  <c r="BL38" i="23183"/>
  <c r="AJ38" i="23183"/>
  <c r="AC38" i="23183"/>
  <c r="F38" i="23183"/>
  <c r="BZ38" i="23183"/>
  <c r="D38" i="23183"/>
  <c r="AK38" i="23183"/>
  <c r="AS38" i="23183"/>
  <c r="H38" i="23183"/>
  <c r="CB38" i="23183"/>
  <c r="BH38" i="23183"/>
  <c r="BG38" i="23183"/>
  <c r="AZ38" i="23183"/>
  <c r="Z38" i="23183"/>
  <c r="AH38" i="23183"/>
  <c r="AU38" i="23183"/>
  <c r="T38" i="23183"/>
  <c r="K38" i="23183"/>
  <c r="AF38" i="23183"/>
  <c r="L38" i="23183"/>
  <c r="Y38" i="23183"/>
  <c r="I38" i="23183"/>
  <c r="BO38" i="23183"/>
  <c r="AV38" i="23183"/>
  <c r="BY26" i="23183"/>
  <c r="BX26" i="23183"/>
  <c r="BR26" i="23183"/>
  <c r="CF26" i="23183"/>
  <c r="BT26" i="23183"/>
  <c r="CG26" i="23183"/>
  <c r="BW26" i="23183"/>
  <c r="B21" i="23201"/>
  <c r="F21" i="23201" s="1"/>
  <c r="C22" i="23184"/>
  <c r="AH22" i="23184" s="1"/>
  <c r="B21" i="23199"/>
  <c r="E21" i="23199" s="1"/>
  <c r="B21" i="23200"/>
  <c r="BS26" i="23183"/>
  <c r="BI26" i="23183"/>
  <c r="CV26" i="23183"/>
  <c r="BH26" i="23183"/>
  <c r="Z26" i="23183"/>
  <c r="AE26" i="23183"/>
  <c r="AV26" i="23183"/>
  <c r="CL26" i="23183"/>
  <c r="BL26" i="23183"/>
  <c r="BJ26" i="23183"/>
  <c r="AL26" i="23183"/>
  <c r="AQ26" i="23183"/>
  <c r="T26" i="23183"/>
  <c r="BE26" i="23183"/>
  <c r="BD26" i="23183"/>
  <c r="AW26" i="23183"/>
  <c r="W26" i="23183"/>
  <c r="X26" i="23183"/>
  <c r="BO26" i="23183"/>
  <c r="AO26" i="23183"/>
  <c r="AJ26" i="23183"/>
  <c r="N26" i="23183"/>
  <c r="M26" i="23183"/>
  <c r="BC26" i="23183"/>
  <c r="R26" i="23183"/>
  <c r="AR26" i="23183"/>
  <c r="C26" i="23183"/>
  <c r="AD26" i="23183"/>
  <c r="AM26" i="23183"/>
  <c r="D26" i="23183"/>
  <c r="BF26" i="23183"/>
  <c r="S26" i="23183"/>
  <c r="AI26" i="23183"/>
  <c r="Y26" i="23183"/>
  <c r="AH26" i="23183"/>
  <c r="AK26" i="23183"/>
  <c r="AB26" i="23183"/>
  <c r="P26" i="23183"/>
  <c r="BM26" i="23183"/>
  <c r="BK26" i="23183"/>
  <c r="AX26" i="23183"/>
  <c r="F26" i="23183"/>
  <c r="AP26" i="23183"/>
  <c r="AP117" i="23184"/>
  <c r="AV117" i="23184"/>
  <c r="AU117" i="23184"/>
  <c r="AL117" i="23184"/>
  <c r="S117" i="23184"/>
  <c r="AA117" i="23184"/>
  <c r="AB117" i="23184"/>
  <c r="AE117" i="23184"/>
  <c r="AK117" i="23184"/>
  <c r="AG117" i="23184"/>
  <c r="AJ117" i="23184"/>
  <c r="AO117" i="23184"/>
  <c r="AI117" i="23184"/>
  <c r="Q117" i="23184"/>
  <c r="T117" i="23184"/>
  <c r="Z117" i="23184"/>
  <c r="K117" i="23184"/>
  <c r="G117" i="23184"/>
  <c r="F117" i="23184"/>
  <c r="AF117" i="23184"/>
  <c r="AD117" i="23184"/>
  <c r="H117" i="23184"/>
  <c r="AH117" i="23184"/>
  <c r="M117" i="23184"/>
  <c r="Y117" i="23184"/>
  <c r="AC117" i="23184"/>
  <c r="I117" i="23184"/>
  <c r="AN117" i="23184"/>
  <c r="AM117" i="23184"/>
  <c r="P117" i="23184"/>
  <c r="X117" i="23184"/>
  <c r="E117" i="23184"/>
  <c r="AS117" i="23184"/>
  <c r="O117" i="23184"/>
  <c r="AP106" i="23184"/>
  <c r="U106" i="23184"/>
  <c r="AV106" i="23184"/>
  <c r="AA106" i="23184"/>
  <c r="AU106" i="23184"/>
  <c r="J106" i="23184"/>
  <c r="AE106" i="23184"/>
  <c r="AJ106" i="23184"/>
  <c r="Q106" i="23184"/>
  <c r="B105" i="23184"/>
  <c r="H106" i="23184"/>
  <c r="AF106" i="23184"/>
  <c r="P106" i="23184"/>
  <c r="AB106" i="23184"/>
  <c r="X106" i="23184"/>
  <c r="AG106" i="23184"/>
  <c r="V106" i="23184"/>
  <c r="O106" i="23184"/>
  <c r="I106" i="23184"/>
  <c r="Z106" i="23184"/>
  <c r="Y106" i="23184"/>
  <c r="R106" i="23184"/>
  <c r="L106" i="23184"/>
  <c r="F106" i="23184"/>
  <c r="N106" i="23184"/>
  <c r="E106" i="23184"/>
  <c r="K106" i="23184"/>
  <c r="AC106" i="23184"/>
  <c r="G106" i="23184"/>
  <c r="AD106" i="23184"/>
  <c r="AV95" i="23184"/>
  <c r="AA95" i="23184"/>
  <c r="I31" i="23183"/>
  <c r="K31" i="23183"/>
  <c r="Q55" i="23183"/>
  <c r="E79" i="23183"/>
  <c r="P67" i="23183"/>
  <c r="AQ31" i="23183"/>
  <c r="AJ43" i="23183"/>
  <c r="AA55" i="23183"/>
  <c r="AV79" i="23183"/>
  <c r="T67" i="23183"/>
  <c r="T79" i="23183"/>
  <c r="BP31" i="23183"/>
  <c r="O32" i="23184"/>
  <c r="AB32" i="23184"/>
  <c r="J32" i="23184"/>
  <c r="X32" i="23184"/>
  <c r="AN32" i="23184"/>
  <c r="CD50" i="23183"/>
  <c r="H31" i="23183"/>
  <c r="AF67" i="23183"/>
  <c r="F31" i="23183"/>
  <c r="I79" i="23183"/>
  <c r="Y55" i="23183"/>
  <c r="Q31" i="23183"/>
  <c r="L55" i="23183"/>
  <c r="H79" i="23183"/>
  <c r="S79" i="23183"/>
  <c r="T55" i="23183"/>
  <c r="V79" i="23183"/>
  <c r="M43" i="23183"/>
  <c r="E55" i="23183"/>
  <c r="O79" i="23183"/>
  <c r="N67" i="23183"/>
  <c r="Q67" i="23183"/>
  <c r="AP31" i="23183"/>
  <c r="AI43" i="23183"/>
  <c r="AH55" i="23183"/>
  <c r="AI67" i="23183"/>
  <c r="AF79" i="23183"/>
  <c r="BD31" i="23183"/>
  <c r="G66" i="23200"/>
  <c r="H66" i="23200"/>
  <c r="BW55" i="23183"/>
  <c r="C78" i="23198"/>
  <c r="D76" i="23198" s="1"/>
  <c r="AX67" i="23183"/>
  <c r="AT31" i="23183"/>
  <c r="L43" i="23183"/>
  <c r="C55" i="23183"/>
  <c r="AR31" i="23183"/>
  <c r="AB43" i="23183"/>
  <c r="BA55" i="23183"/>
  <c r="AB79" i="23183"/>
  <c r="AR55" i="23183"/>
  <c r="AR79" i="23183"/>
  <c r="BC31" i="23183"/>
  <c r="BG55" i="23183"/>
  <c r="CU67" i="23183"/>
  <c r="B62" i="23201"/>
  <c r="BJ67" i="23183"/>
  <c r="BT67" i="23183"/>
  <c r="BO67" i="23183"/>
  <c r="CH67" i="23183"/>
  <c r="BD67" i="23183"/>
  <c r="BW67" i="23183"/>
  <c r="BH67" i="23183"/>
  <c r="BP67" i="23183"/>
  <c r="AD67" i="23183"/>
  <c r="AP67" i="23183"/>
  <c r="AL67" i="23183"/>
  <c r="U67" i="23183"/>
  <c r="AH67" i="23183"/>
  <c r="X67" i="23183"/>
  <c r="BI67" i="23183"/>
  <c r="S67" i="23183"/>
  <c r="AJ67" i="23183"/>
  <c r="BL67" i="23183"/>
  <c r="AS67" i="23183"/>
  <c r="K67" i="23183"/>
  <c r="BM67" i="23183"/>
  <c r="Y67" i="23183"/>
  <c r="AR67" i="23183"/>
  <c r="C67" i="23183"/>
  <c r="BN67" i="23183"/>
  <c r="AK67" i="23183"/>
  <c r="AC67" i="23183"/>
  <c r="O67" i="23183"/>
  <c r="BG67" i="23183"/>
  <c r="AO67" i="23183"/>
  <c r="AT67" i="23183"/>
  <c r="AN67" i="23183"/>
  <c r="Z67" i="23183"/>
  <c r="W67" i="23183"/>
  <c r="BA67" i="23183"/>
  <c r="AM67" i="23183"/>
  <c r="AB67" i="23183"/>
  <c r="G67" i="23183"/>
  <c r="V67" i="23183"/>
  <c r="AG67" i="23183"/>
  <c r="H67" i="23183"/>
  <c r="AE67" i="23183"/>
  <c r="J67" i="23183"/>
  <c r="AU67" i="23183"/>
  <c r="CN43" i="23183"/>
  <c r="BW43" i="23183"/>
  <c r="CL43" i="23183"/>
  <c r="BD43" i="23183"/>
  <c r="B38" i="23201"/>
  <c r="X43" i="23183"/>
  <c r="BF43" i="23183"/>
  <c r="BI43" i="23183"/>
  <c r="BG43" i="23183"/>
  <c r="BJ43" i="23183"/>
  <c r="BM43" i="23183"/>
  <c r="AX43" i="23183"/>
  <c r="AR43" i="23183"/>
  <c r="AM43" i="23183"/>
  <c r="AY43" i="23183"/>
  <c r="U43" i="23183"/>
  <c r="W43" i="23183"/>
  <c r="BK43" i="23183"/>
  <c r="R43" i="23183"/>
  <c r="AK43" i="23183"/>
  <c r="O43" i="23183"/>
  <c r="BL43" i="23183"/>
  <c r="AD43" i="23183"/>
  <c r="AL43" i="23183"/>
  <c r="D43" i="23183"/>
  <c r="BN43" i="23183"/>
  <c r="F43" i="23183"/>
  <c r="AP43" i="23183"/>
  <c r="S43" i="23183"/>
  <c r="I43" i="23183"/>
  <c r="P43" i="23183"/>
  <c r="BO43" i="23183"/>
  <c r="Z43" i="23183"/>
  <c r="AU43" i="23183"/>
  <c r="AF43" i="23183"/>
  <c r="BP43" i="23183"/>
  <c r="AQ43" i="23183"/>
  <c r="AO43" i="23183"/>
  <c r="T43" i="23183"/>
  <c r="BC43" i="23183"/>
  <c r="Y43" i="23183"/>
  <c r="AG43" i="23183"/>
  <c r="K43" i="23183"/>
  <c r="AH43" i="23183"/>
  <c r="C43" i="23183"/>
  <c r="CK43" i="23183"/>
  <c r="AV43" i="23183"/>
  <c r="AE43" i="23183"/>
  <c r="B14" i="23201"/>
  <c r="AB19" i="23183"/>
  <c r="CO19" i="23183"/>
  <c r="CN19" i="23183"/>
  <c r="BK19" i="23183"/>
  <c r="J19" i="23183"/>
  <c r="W19" i="23183"/>
  <c r="AI19" i="23183"/>
  <c r="I19" i="23183"/>
  <c r="BJ19" i="23183"/>
  <c r="AO19" i="23183"/>
  <c r="AH19" i="23183"/>
  <c r="AE19" i="23183"/>
  <c r="V19" i="23183"/>
  <c r="AV99" i="23184"/>
  <c r="AN99" i="23184"/>
  <c r="L99" i="23184"/>
  <c r="AG99" i="23184"/>
  <c r="AH99" i="23184"/>
  <c r="AI99" i="23184"/>
  <c r="O99" i="23184"/>
  <c r="AO99" i="23184"/>
  <c r="AD99" i="23184"/>
  <c r="Z99" i="23184"/>
  <c r="G99" i="23184"/>
  <c r="F99" i="23184"/>
  <c r="AJ99" i="23184"/>
  <c r="I99" i="23184"/>
  <c r="J99" i="23184"/>
  <c r="AA99" i="23184"/>
  <c r="B98" i="23184"/>
  <c r="AU99" i="23184"/>
  <c r="H99" i="23184"/>
  <c r="N99" i="23184"/>
  <c r="U99" i="23184"/>
  <c r="E99" i="23184"/>
  <c r="AB99" i="23184"/>
  <c r="I3" i="23195"/>
  <c r="A3" i="23195" s="1"/>
  <c r="AW31" i="23183"/>
  <c r="AY67" i="23183"/>
  <c r="AK55" i="23183"/>
  <c r="AA67" i="23183"/>
  <c r="N43" i="23183"/>
  <c r="J79" i="23183"/>
  <c r="AW43" i="23183"/>
  <c r="G55" i="23183"/>
  <c r="AW67" i="23183"/>
  <c r="U79" i="23183"/>
  <c r="BD79" i="23183"/>
  <c r="H17" i="23202"/>
  <c r="J43" i="23183"/>
  <c r="N55" i="23183"/>
  <c r="AD55" i="23183"/>
  <c r="AF31" i="23183"/>
  <c r="V43" i="23183"/>
  <c r="AX55" i="23183"/>
  <c r="AA43" i="23183"/>
  <c r="B45" i="23201"/>
  <c r="G64" i="23200"/>
  <c r="G68" i="23200"/>
  <c r="BT79" i="23183"/>
  <c r="CT79" i="23183"/>
  <c r="BR79" i="23183"/>
  <c r="C75" i="23184"/>
  <c r="CF79" i="23183"/>
  <c r="BU79" i="23183"/>
  <c r="BP79" i="23183"/>
  <c r="BI79" i="23183"/>
  <c r="BJ79" i="23183"/>
  <c r="BG79" i="23183"/>
  <c r="BO79" i="23183"/>
  <c r="AJ79" i="23183"/>
  <c r="X79" i="23183"/>
  <c r="BH79" i="23183"/>
  <c r="AA79" i="23183"/>
  <c r="Y79" i="23183"/>
  <c r="AC79" i="23183"/>
  <c r="AS79" i="23183"/>
  <c r="BK79" i="23183"/>
  <c r="AY79" i="23183"/>
  <c r="AL79" i="23183"/>
  <c r="AD79" i="23183"/>
  <c r="AX79" i="23183"/>
  <c r="R79" i="23183"/>
  <c r="AZ79" i="23183"/>
  <c r="AN79" i="23183"/>
  <c r="L79" i="23183"/>
  <c r="AG79" i="23183"/>
  <c r="BA79" i="23183"/>
  <c r="BM79" i="23183"/>
  <c r="W79" i="23183"/>
  <c r="AM79" i="23183"/>
  <c r="P79" i="23183"/>
  <c r="BN79" i="23183"/>
  <c r="D79" i="23183"/>
  <c r="AQ79" i="23183"/>
  <c r="AT79" i="23183"/>
  <c r="Z79" i="23183"/>
  <c r="BL79" i="23183"/>
  <c r="AH79" i="23183"/>
  <c r="AE79" i="23183"/>
  <c r="AU79" i="23183"/>
  <c r="Q79" i="23183"/>
  <c r="BC79" i="23183"/>
  <c r="AW79" i="23183"/>
  <c r="N79" i="23183"/>
  <c r="M79" i="23183"/>
  <c r="C79" i="23183"/>
  <c r="CU55" i="23183"/>
  <c r="BT55" i="23183"/>
  <c r="CH55" i="23183"/>
  <c r="BM55" i="23183"/>
  <c r="BO55" i="23183"/>
  <c r="BD55" i="23183"/>
  <c r="B50" i="23200"/>
  <c r="BK55" i="23183"/>
  <c r="B50" i="23201"/>
  <c r="BL55" i="23183"/>
  <c r="BN55" i="23183"/>
  <c r="BE55" i="23183"/>
  <c r="AY55" i="23183"/>
  <c r="AE55" i="23183"/>
  <c r="AZ55" i="23183"/>
  <c r="R55" i="23183"/>
  <c r="BC55" i="23183"/>
  <c r="AC55" i="23183"/>
  <c r="U55" i="23183"/>
  <c r="O55" i="23183"/>
  <c r="BP55" i="23183"/>
  <c r="Z55" i="23183"/>
  <c r="AO55" i="23183"/>
  <c r="AJ55" i="23183"/>
  <c r="D55" i="23183"/>
  <c r="BF55" i="23183"/>
  <c r="AN55" i="23183"/>
  <c r="V55" i="23183"/>
  <c r="M55" i="23183"/>
  <c r="P55" i="23183"/>
  <c r="AL55" i="23183"/>
  <c r="AS55" i="23183"/>
  <c r="X55" i="23183"/>
  <c r="W55" i="23183"/>
  <c r="AB55" i="23183"/>
  <c r="I55" i="23183"/>
  <c r="AM55" i="23183"/>
  <c r="AQ55" i="23183"/>
  <c r="H55" i="23183"/>
  <c r="F55" i="23183"/>
  <c r="AF55" i="23183"/>
  <c r="AU55" i="23183"/>
  <c r="AG55" i="23183"/>
  <c r="BI55" i="23183"/>
  <c r="AW55" i="23183"/>
  <c r="CK31" i="23183"/>
  <c r="CL31" i="23183"/>
  <c r="BW31" i="23183"/>
  <c r="CN31" i="23183"/>
  <c r="BO31" i="23183"/>
  <c r="BE31" i="23183"/>
  <c r="B26" i="23199"/>
  <c r="BF31" i="23183"/>
  <c r="BI31" i="23183"/>
  <c r="BH31" i="23183"/>
  <c r="BL31" i="23183"/>
  <c r="AL31" i="23183"/>
  <c r="AB31" i="23183"/>
  <c r="R31" i="23183"/>
  <c r="AV31" i="23183"/>
  <c r="AC31" i="23183"/>
  <c r="X31" i="23183"/>
  <c r="BG31" i="23183"/>
  <c r="Z31" i="23183"/>
  <c r="AE31" i="23183"/>
  <c r="N31" i="23183"/>
  <c r="AA31" i="23183"/>
  <c r="AG31" i="23183"/>
  <c r="C31" i="23183"/>
  <c r="AM31" i="23183"/>
  <c r="AH31" i="23183"/>
  <c r="O31" i="23183"/>
  <c r="G31" i="23183"/>
  <c r="AX31" i="23183"/>
  <c r="AN31" i="23183"/>
  <c r="BJ31" i="23183"/>
  <c r="AU31" i="23183"/>
  <c r="AS31" i="23183"/>
  <c r="W31" i="23183"/>
  <c r="AJ31" i="23183"/>
  <c r="L31" i="23183"/>
  <c r="AI31" i="23183"/>
  <c r="S31" i="23183"/>
  <c r="D31" i="23183"/>
  <c r="AK31" i="23183"/>
  <c r="U31" i="23183"/>
  <c r="E31" i="23183"/>
  <c r="BK31" i="23183"/>
  <c r="AY31" i="23183"/>
  <c r="AD31" i="23183"/>
  <c r="AP88" i="23184"/>
  <c r="AV88" i="23184"/>
  <c r="AK88" i="23184"/>
  <c r="AN88" i="23184"/>
  <c r="R88" i="23184"/>
  <c r="AO88" i="23184"/>
  <c r="I88" i="23184"/>
  <c r="Z88" i="23184"/>
  <c r="AL88" i="23184"/>
  <c r="AE88" i="23184"/>
  <c r="Y88" i="23184"/>
  <c r="AS88" i="23184"/>
  <c r="AF88" i="23184"/>
  <c r="L88" i="23184"/>
  <c r="AC88" i="23184"/>
  <c r="O88" i="23184"/>
  <c r="K88" i="23184"/>
  <c r="V88" i="23184"/>
  <c r="J88" i="23184"/>
  <c r="AA88" i="23184"/>
  <c r="AM88" i="23184"/>
  <c r="X88" i="23184"/>
  <c r="H88" i="23184"/>
  <c r="S88" i="23184"/>
  <c r="B87" i="23184"/>
  <c r="AI88" i="23184"/>
  <c r="F88" i="23184"/>
  <c r="U88" i="23184"/>
  <c r="AU88" i="23184"/>
  <c r="G88" i="23184"/>
  <c r="AD88" i="23184"/>
  <c r="E88" i="23184"/>
  <c r="Q88" i="23184"/>
  <c r="M88" i="23184"/>
  <c r="P88" i="23184"/>
  <c r="T88" i="23184"/>
  <c r="D67" i="23183"/>
  <c r="AZ43" i="23183"/>
  <c r="AH88" i="23184"/>
  <c r="AG88" i="23184"/>
  <c r="CH79" i="23183"/>
  <c r="V31" i="23183"/>
  <c r="AT43" i="23183"/>
  <c r="BE79" i="23183"/>
  <c r="AV67" i="23183"/>
  <c r="H43" i="23183"/>
  <c r="K55" i="23183"/>
  <c r="G79" i="23183"/>
  <c r="T31" i="23183"/>
  <c r="AC43" i="23183"/>
  <c r="AV55" i="23183"/>
  <c r="BM31" i="23183"/>
  <c r="AI55" i="23183"/>
  <c r="N88" i="23184"/>
  <c r="CC19" i="23183"/>
  <c r="AP118" i="23184"/>
  <c r="R118" i="23184"/>
  <c r="AK118" i="23184"/>
  <c r="AU118" i="23184"/>
  <c r="AD118" i="23184"/>
  <c r="O118" i="23184"/>
  <c r="AE118" i="23184"/>
  <c r="J118" i="23184"/>
  <c r="AI118" i="23184"/>
  <c r="AV118" i="23184"/>
  <c r="T118" i="23184"/>
  <c r="AF118" i="23184"/>
  <c r="AH118" i="23184"/>
  <c r="P118" i="23184"/>
  <c r="F118" i="23184"/>
  <c r="AO118" i="23184"/>
  <c r="AB118" i="23184"/>
  <c r="H118" i="23184"/>
  <c r="AC118" i="23184"/>
  <c r="K118" i="23184"/>
  <c r="AA118" i="23184"/>
  <c r="V118" i="23184"/>
  <c r="AG118" i="23184"/>
  <c r="M118" i="23184"/>
  <c r="Z118" i="23184"/>
  <c r="AM118" i="23184"/>
  <c r="S118" i="23184"/>
  <c r="U118" i="23184"/>
  <c r="AS118" i="23184"/>
  <c r="I118" i="23184"/>
  <c r="G118" i="23184"/>
  <c r="Q118" i="23184"/>
  <c r="AP96" i="23184"/>
  <c r="AM96" i="23184"/>
  <c r="M96" i="23184"/>
  <c r="K96" i="23184"/>
  <c r="AN96" i="23184"/>
  <c r="U96" i="23184"/>
  <c r="AS96" i="23184"/>
  <c r="O96" i="23184"/>
  <c r="R96" i="23184"/>
  <c r="AU96" i="23184"/>
  <c r="S96" i="23184"/>
  <c r="AO96" i="23184"/>
  <c r="AG96" i="23184"/>
  <c r="P96" i="23184"/>
  <c r="AV96" i="23184"/>
  <c r="AA96" i="23184"/>
  <c r="X96" i="23184"/>
  <c r="H96" i="23184"/>
  <c r="Y96" i="23184"/>
  <c r="B95" i="23184"/>
  <c r="AI96" i="23184"/>
  <c r="J96" i="23184"/>
  <c r="E96" i="23184"/>
  <c r="N96" i="23184"/>
  <c r="AC96" i="23184"/>
  <c r="I96" i="23184"/>
  <c r="G96" i="23184"/>
  <c r="F96" i="23184"/>
  <c r="AD96" i="23184"/>
  <c r="AB96" i="23184"/>
  <c r="AE96" i="23184"/>
  <c r="AF96" i="23184"/>
  <c r="Q96" i="23184"/>
  <c r="AP84" i="23184"/>
  <c r="S84" i="23184"/>
  <c r="N84" i="23184"/>
  <c r="AL84" i="23184"/>
  <c r="O84" i="23184"/>
  <c r="AS84" i="23184"/>
  <c r="AV84" i="23184"/>
  <c r="AU84" i="23184"/>
  <c r="K84" i="23184"/>
  <c r="AJ84" i="23184"/>
  <c r="E84" i="23184"/>
  <c r="U84" i="23184"/>
  <c r="M84" i="23184"/>
  <c r="H84" i="23184"/>
  <c r="Y84" i="23184"/>
  <c r="AN84" i="23184"/>
  <c r="AI84" i="23184"/>
  <c r="Q84" i="23184"/>
  <c r="R84" i="23184"/>
  <c r="AK84" i="23184"/>
  <c r="AF84" i="23184"/>
  <c r="T84" i="23184"/>
  <c r="AM84" i="23184"/>
  <c r="AH84" i="23184"/>
  <c r="B83" i="23184"/>
  <c r="L84" i="23184"/>
  <c r="AC84" i="23184"/>
  <c r="J84" i="23184"/>
  <c r="AO84" i="23184"/>
  <c r="Z84" i="23184"/>
  <c r="V84" i="23184"/>
  <c r="P84" i="23184"/>
  <c r="F84" i="23184"/>
  <c r="AD84" i="23184"/>
  <c r="AG84" i="23184"/>
  <c r="AA84" i="23184"/>
  <c r="X84" i="23184"/>
  <c r="G84" i="23184"/>
  <c r="Y118" i="23184"/>
  <c r="AL96" i="23184"/>
  <c r="AJ118" i="23184"/>
  <c r="N118" i="23184"/>
  <c r="CD83" i="23183"/>
  <c r="CT83" i="23183"/>
  <c r="BY83" i="23183"/>
  <c r="CM83" i="23183"/>
  <c r="BS83" i="23183"/>
  <c r="CG83" i="23183"/>
  <c r="BE83" i="23183"/>
  <c r="BL83" i="23183"/>
  <c r="CX83" i="23183"/>
  <c r="CC83" i="23183"/>
  <c r="BI83" i="23183"/>
  <c r="BJ83" i="23183"/>
  <c r="BN83" i="23183"/>
  <c r="AJ83" i="23183"/>
  <c r="BF83" i="23183"/>
  <c r="AE83" i="23183"/>
  <c r="R83" i="23183"/>
  <c r="AX83" i="23183"/>
  <c r="BK83" i="23183"/>
  <c r="BG83" i="23183"/>
  <c r="AG83" i="23183"/>
  <c r="S83" i="23183"/>
  <c r="AZ83" i="23183"/>
  <c r="X83" i="23183"/>
  <c r="U83" i="23183"/>
  <c r="BA83" i="23183"/>
  <c r="BO83" i="23183"/>
  <c r="AF83" i="23183"/>
  <c r="H83" i="23183"/>
  <c r="I83" i="23183"/>
  <c r="BD83" i="23183"/>
  <c r="AK83" i="23183"/>
  <c r="T83" i="23183"/>
  <c r="AT83" i="23183"/>
  <c r="C83" i="23183"/>
  <c r="BP83" i="23183"/>
  <c r="AH83" i="23183"/>
  <c r="AO83" i="23183"/>
  <c r="AU83" i="23183"/>
  <c r="O83" i="23183"/>
  <c r="G83" i="23183"/>
  <c r="AQ83" i="23183"/>
  <c r="AD83" i="23183"/>
  <c r="AW83" i="23183"/>
  <c r="D83" i="23183"/>
  <c r="Q83" i="23183"/>
  <c r="M83" i="23183"/>
  <c r="AS83" i="23183"/>
  <c r="CD71" i="23183"/>
  <c r="CK71" i="23183"/>
  <c r="CV71" i="23183"/>
  <c r="CS71" i="23183"/>
  <c r="BU71" i="23183"/>
  <c r="CI71" i="23183"/>
  <c r="B66" i="23201"/>
  <c r="E66" i="23201" s="1"/>
  <c r="CP71" i="23183"/>
  <c r="BF71" i="23183"/>
  <c r="BK71" i="23183"/>
  <c r="U71" i="23183"/>
  <c r="BJ71" i="23183"/>
  <c r="BC71" i="23183"/>
  <c r="AC71" i="23183"/>
  <c r="BO71" i="23183"/>
  <c r="BD71" i="23183"/>
  <c r="AR71" i="23183"/>
  <c r="CZ71" i="23183"/>
  <c r="B66" i="23199"/>
  <c r="BG71" i="23183"/>
  <c r="BL71" i="23183"/>
  <c r="AD71" i="23183"/>
  <c r="BH71" i="23183"/>
  <c r="AZ71" i="23183"/>
  <c r="AO71" i="23183"/>
  <c r="BA71" i="23183"/>
  <c r="AH71" i="23183"/>
  <c r="AP71" i="23183"/>
  <c r="AA71" i="23183"/>
  <c r="AM71" i="23183"/>
  <c r="AS71" i="23183"/>
  <c r="T71" i="23183"/>
  <c r="S71" i="23183"/>
  <c r="AG71" i="23183"/>
  <c r="AQ71" i="23183"/>
  <c r="AB71" i="23183"/>
  <c r="AX71" i="23183"/>
  <c r="E71" i="23183"/>
  <c r="D71" i="23183"/>
  <c r="BZ71" i="23183"/>
  <c r="BI71" i="23183"/>
  <c r="AN71" i="23183"/>
  <c r="X71" i="23183"/>
  <c r="F71" i="23183"/>
  <c r="CC71" i="23183"/>
  <c r="Z71" i="23183"/>
  <c r="AI71" i="23183"/>
  <c r="AJ71" i="23183"/>
  <c r="G71" i="23183"/>
  <c r="L71" i="23183"/>
  <c r="I71" i="23183"/>
  <c r="W71" i="23183"/>
  <c r="AK71" i="23183"/>
  <c r="R71" i="23183"/>
  <c r="AY71" i="23183"/>
  <c r="CP59" i="23183"/>
  <c r="BW59" i="23183"/>
  <c r="C55" i="23184"/>
  <c r="CI59" i="23183"/>
  <c r="B54" i="23199"/>
  <c r="CM59" i="23183"/>
  <c r="BZ59" i="23183"/>
  <c r="BV59" i="23183"/>
  <c r="BI59" i="23183"/>
  <c r="CW59" i="23183"/>
  <c r="BN59" i="23183"/>
  <c r="BC59" i="23183"/>
  <c r="CY59" i="23183"/>
  <c r="CO59" i="23183"/>
  <c r="BL59" i="23183"/>
  <c r="AB59" i="23183"/>
  <c r="CQ59" i="23183"/>
  <c r="B54" i="23201"/>
  <c r="BM59" i="23183"/>
  <c r="BP59" i="23183"/>
  <c r="BG59" i="23183"/>
  <c r="AZ59" i="23183"/>
  <c r="V59" i="23183"/>
  <c r="BH59" i="23183"/>
  <c r="AG59" i="23183"/>
  <c r="BA59" i="23183"/>
  <c r="AI59" i="23183"/>
  <c r="BJ59" i="23183"/>
  <c r="AS59" i="23183"/>
  <c r="Z59" i="23183"/>
  <c r="G59" i="23183"/>
  <c r="CX59" i="23183"/>
  <c r="BK59" i="23183"/>
  <c r="X59" i="23183"/>
  <c r="AM59" i="23183"/>
  <c r="AX59" i="23183"/>
  <c r="J59" i="23183"/>
  <c r="CA59" i="23183"/>
  <c r="AN59" i="23183"/>
  <c r="T59" i="23183"/>
  <c r="AY59" i="23183"/>
  <c r="AQ59" i="23183"/>
  <c r="L59" i="23183"/>
  <c r="P59" i="23183"/>
  <c r="CT59" i="23183"/>
  <c r="W59" i="23183"/>
  <c r="AC59" i="23183"/>
  <c r="Y59" i="23183"/>
  <c r="Q59" i="23183"/>
  <c r="B54" i="23200"/>
  <c r="AL59" i="23183"/>
  <c r="AK59" i="23183"/>
  <c r="R59" i="23183"/>
  <c r="K59" i="23183"/>
  <c r="AD59" i="23183"/>
  <c r="AE59" i="23183"/>
  <c r="BU47" i="23183"/>
  <c r="CH47" i="23183"/>
  <c r="CT47" i="23183"/>
  <c r="BQ47" i="23183"/>
  <c r="CN47" i="23183"/>
  <c r="B42" i="23200"/>
  <c r="CF47" i="23183"/>
  <c r="CG47" i="23183"/>
  <c r="CS47" i="23183"/>
  <c r="CM47" i="23183"/>
  <c r="BL47" i="23183"/>
  <c r="BH47" i="23183"/>
  <c r="BP47" i="23183"/>
  <c r="BG47" i="23183"/>
  <c r="BE47" i="23183"/>
  <c r="BD47" i="23183"/>
  <c r="BI47" i="23183"/>
  <c r="BF47" i="23183"/>
  <c r="S47" i="23183"/>
  <c r="BV47" i="23183"/>
  <c r="BK47" i="23183"/>
  <c r="BM47" i="23183"/>
  <c r="AM47" i="23183"/>
  <c r="R47" i="23183"/>
  <c r="Z47" i="23183"/>
  <c r="BO47" i="23183"/>
  <c r="G47" i="23183"/>
  <c r="AD47" i="23183"/>
  <c r="AB47" i="23183"/>
  <c r="CA47" i="23183"/>
  <c r="AU47" i="23183"/>
  <c r="AF47" i="23183"/>
  <c r="AA47" i="23183"/>
  <c r="X47" i="23183"/>
  <c r="K47" i="23183"/>
  <c r="F47" i="23183"/>
  <c r="AV47" i="23183"/>
  <c r="AR47" i="23183"/>
  <c r="W47" i="23183"/>
  <c r="N47" i="23183"/>
  <c r="AW47" i="23183"/>
  <c r="U47" i="23183"/>
  <c r="C47" i="23183"/>
  <c r="BN47" i="23183"/>
  <c r="AY47" i="23183"/>
  <c r="V47" i="23183"/>
  <c r="C43" i="23184"/>
  <c r="AH43" i="23184" s="1"/>
  <c r="AZ47" i="23183"/>
  <c r="AH47" i="23183"/>
  <c r="BY35" i="23183"/>
  <c r="CX35" i="23183"/>
  <c r="CY35" i="23183"/>
  <c r="CP35" i="23183"/>
  <c r="B30" i="23201"/>
  <c r="F30" i="23201" s="1"/>
  <c r="C30" i="23201" s="1"/>
  <c r="CO35" i="23183"/>
  <c r="B30" i="23200"/>
  <c r="BU35" i="23183"/>
  <c r="CT35" i="23183"/>
  <c r="CN35" i="23183"/>
  <c r="BJ35" i="23183"/>
  <c r="BN35" i="23183"/>
  <c r="AH35" i="23183"/>
  <c r="BH35" i="23183"/>
  <c r="BP35" i="23183"/>
  <c r="CM35" i="23183"/>
  <c r="BF35" i="23183"/>
  <c r="BD35" i="23183"/>
  <c r="AL35" i="23183"/>
  <c r="AJ35" i="23183"/>
  <c r="AK35" i="23183"/>
  <c r="BK35" i="23183"/>
  <c r="BM35" i="23183"/>
  <c r="AV35" i="23183"/>
  <c r="X35" i="23183"/>
  <c r="R35" i="23183"/>
  <c r="AA35" i="23183"/>
  <c r="AN35" i="23183"/>
  <c r="S35" i="23183"/>
  <c r="BO35" i="23183"/>
  <c r="AX35" i="23183"/>
  <c r="AC35" i="23183"/>
  <c r="H35" i="23183"/>
  <c r="BC35" i="23183"/>
  <c r="AY35" i="23183"/>
  <c r="AQ35" i="23183"/>
  <c r="I35" i="23183"/>
  <c r="AZ35" i="23183"/>
  <c r="AD35" i="23183"/>
  <c r="F35" i="23183"/>
  <c r="BR35" i="23183"/>
  <c r="U35" i="23183"/>
  <c r="T35" i="23183"/>
  <c r="K35" i="23183"/>
  <c r="J35" i="23183"/>
  <c r="CD35" i="23183"/>
  <c r="BE35" i="23183"/>
  <c r="AI35" i="23183"/>
  <c r="W35" i="23183"/>
  <c r="CI23" i="23183"/>
  <c r="BV23" i="23183"/>
  <c r="CV23" i="23183"/>
  <c r="B18" i="23199"/>
  <c r="CW23" i="23183"/>
  <c r="B18" i="23200"/>
  <c r="E18" i="23200" s="1"/>
  <c r="BM23" i="23183"/>
  <c r="BW23" i="23183"/>
  <c r="C19" i="23184"/>
  <c r="BI23" i="23183"/>
  <c r="CO23" i="23183"/>
  <c r="BK23" i="23183"/>
  <c r="BS23" i="23183"/>
  <c r="BL23" i="23183"/>
  <c r="BH23" i="23183"/>
  <c r="BX23" i="23183"/>
  <c r="AK23" i="23183"/>
  <c r="AF23" i="23183"/>
  <c r="CM23" i="23183"/>
  <c r="Z23" i="23183"/>
  <c r="AR23" i="23183"/>
  <c r="H23" i="23183"/>
  <c r="BD23" i="23183"/>
  <c r="V23" i="23183"/>
  <c r="AX23" i="23183"/>
  <c r="AG23" i="23183"/>
  <c r="L23" i="23183"/>
  <c r="AH23" i="23183"/>
  <c r="S23" i="23183"/>
  <c r="K23" i="23183"/>
  <c r="N23" i="23183"/>
  <c r="BJ23" i="23183"/>
  <c r="W23" i="23183"/>
  <c r="T23" i="23183"/>
  <c r="AP23" i="23183"/>
  <c r="BO23" i="23183"/>
  <c r="Y23" i="23183"/>
  <c r="U23" i="23183"/>
  <c r="BF23" i="23183"/>
  <c r="BC23" i="23183"/>
  <c r="AL23" i="23183"/>
  <c r="X23" i="23183"/>
  <c r="S114" i="23184"/>
  <c r="AK114" i="23184"/>
  <c r="AO114" i="23184"/>
  <c r="U114" i="23184"/>
  <c r="AB114" i="23184"/>
  <c r="I114" i="23184"/>
  <c r="AA114" i="23184"/>
  <c r="AC114" i="23184"/>
  <c r="J114" i="23184"/>
  <c r="AV114" i="23184"/>
  <c r="K114" i="23184"/>
  <c r="E114" i="23184"/>
  <c r="AU114" i="23184"/>
  <c r="AF114" i="23184"/>
  <c r="Q114" i="23184"/>
  <c r="F114" i="23184"/>
  <c r="AG114" i="23184"/>
  <c r="P114" i="23184"/>
  <c r="R114" i="23184"/>
  <c r="AM114" i="23184"/>
  <c r="T114" i="23184"/>
  <c r="AD114" i="23184"/>
  <c r="AI114" i="23184"/>
  <c r="V114" i="23184"/>
  <c r="G114" i="23184"/>
  <c r="AL114" i="23184"/>
  <c r="AP114" i="23184"/>
  <c r="Y114" i="23184"/>
  <c r="X114" i="23184"/>
  <c r="B113" i="23184"/>
  <c r="H114" i="23184"/>
  <c r="AJ114" i="23184"/>
  <c r="Z114" i="23184"/>
  <c r="AN103" i="23184"/>
  <c r="AV103" i="23184"/>
  <c r="AB103" i="23184"/>
  <c r="F103" i="23184"/>
  <c r="AA103" i="23184"/>
  <c r="I103" i="23184"/>
  <c r="AC103" i="23184"/>
  <c r="E103" i="23184"/>
  <c r="J103" i="23184"/>
  <c r="AJ103" i="23184"/>
  <c r="AF103" i="23184"/>
  <c r="AE103" i="23184"/>
  <c r="L103" i="23184"/>
  <c r="Z103" i="23184"/>
  <c r="AH103" i="23184"/>
  <c r="X103" i="23184"/>
  <c r="H103" i="23184"/>
  <c r="B102" i="23184"/>
  <c r="O103" i="23184"/>
  <c r="P103" i="23184"/>
  <c r="K103" i="23184"/>
  <c r="AP92" i="23184"/>
  <c r="AV92" i="23184"/>
  <c r="AO92" i="23184"/>
  <c r="R92" i="23184"/>
  <c r="S92" i="23184"/>
  <c r="AS92" i="23184"/>
  <c r="AL92" i="23184"/>
  <c r="X92" i="23184"/>
  <c r="O92" i="23184"/>
  <c r="AJ92" i="23184"/>
  <c r="Y92" i="23184"/>
  <c r="Z92" i="23184"/>
  <c r="AN92" i="23184"/>
  <c r="T92" i="23184"/>
  <c r="F92" i="23184"/>
  <c r="AA92" i="23184"/>
  <c r="U92" i="23184"/>
  <c r="AB92" i="23184"/>
  <c r="Q92" i="23184"/>
  <c r="G92" i="23184"/>
  <c r="AF92" i="23184"/>
  <c r="AU92" i="23184"/>
  <c r="AG92" i="23184"/>
  <c r="M92" i="23184"/>
  <c r="AH92" i="23184"/>
  <c r="K92" i="23184"/>
  <c r="J92" i="23184"/>
  <c r="L92" i="23184"/>
  <c r="AM92" i="23184"/>
  <c r="AC92" i="23184"/>
  <c r="I92" i="23184"/>
  <c r="AD92" i="23184"/>
  <c r="E92" i="23184"/>
  <c r="AE92" i="23184"/>
  <c r="AI92" i="23184"/>
  <c r="B91" i="23184"/>
  <c r="V92" i="23184"/>
  <c r="P92" i="23184"/>
  <c r="I84" i="23184"/>
  <c r="B117" i="23184"/>
  <c r="AE84" i="23184"/>
  <c r="E118" i="23184"/>
  <c r="AB84" i="23184"/>
  <c r="AN31" i="23184"/>
  <c r="AV31" i="23184"/>
  <c r="AD31" i="23184"/>
  <c r="AI31" i="23184"/>
  <c r="AS31" i="23184"/>
  <c r="E31" i="23184"/>
  <c r="Q31" i="23184"/>
  <c r="AF31" i="23184"/>
  <c r="AK31" i="23184"/>
  <c r="AU31" i="23184"/>
  <c r="H31" i="23184"/>
  <c r="CW35" i="23183"/>
  <c r="AP116" i="23184"/>
  <c r="R116" i="23184"/>
  <c r="AV116" i="23184"/>
  <c r="AN116" i="23184"/>
  <c r="Z116" i="23184"/>
  <c r="AH116" i="23184"/>
  <c r="AK116" i="23184"/>
  <c r="AI116" i="23184"/>
  <c r="AE116" i="23184"/>
  <c r="B115" i="23184"/>
  <c r="K116" i="23184"/>
  <c r="Y116" i="23184"/>
  <c r="H116" i="23184"/>
  <c r="I116" i="23184"/>
  <c r="AS116" i="23184"/>
  <c r="V116" i="23184"/>
  <c r="F116" i="23184"/>
  <c r="AB116" i="23184"/>
  <c r="E116" i="23184"/>
  <c r="AD116" i="23184"/>
  <c r="J116" i="23184"/>
  <c r="Q116" i="23184"/>
  <c r="L116" i="23184"/>
  <c r="AJ116" i="23184"/>
  <c r="AP105" i="23184"/>
  <c r="AL105" i="23184"/>
  <c r="J105" i="23184"/>
  <c r="U105" i="23184"/>
  <c r="AV105" i="23184"/>
  <c r="AM105" i="23184"/>
  <c r="AS105" i="23184"/>
  <c r="S105" i="23184"/>
  <c r="AH105" i="23184"/>
  <c r="O105" i="23184"/>
  <c r="T105" i="23184"/>
  <c r="AI105" i="23184"/>
  <c r="AA105" i="23184"/>
  <c r="AK105" i="23184"/>
  <c r="AD105" i="23184"/>
  <c r="Q105" i="23184"/>
  <c r="AC105" i="23184"/>
  <c r="AU105" i="23184"/>
  <c r="AJ105" i="23184"/>
  <c r="P105" i="23184"/>
  <c r="Z105" i="23184"/>
  <c r="F105" i="23184"/>
  <c r="H105" i="23184"/>
  <c r="AF105" i="23184"/>
  <c r="K105" i="23184"/>
  <c r="AB105" i="23184"/>
  <c r="X105" i="23184"/>
  <c r="B104" i="23184"/>
  <c r="I105" i="23184"/>
  <c r="AG105" i="23184"/>
  <c r="G105" i="23184"/>
  <c r="AN94" i="23184"/>
  <c r="AU94" i="23184"/>
  <c r="N94" i="23184"/>
  <c r="AP94" i="23184"/>
  <c r="AL94" i="23184"/>
  <c r="U94" i="23184"/>
  <c r="AS94" i="23184"/>
  <c r="AA94" i="23184"/>
  <c r="AJ94" i="23184"/>
  <c r="M94" i="23184"/>
  <c r="X94" i="23184"/>
  <c r="AV94" i="23184"/>
  <c r="Z94" i="23184"/>
  <c r="S94" i="23184"/>
  <c r="E94" i="23184"/>
  <c r="T94" i="23184"/>
  <c r="AC94" i="23184"/>
  <c r="AM94" i="23184"/>
  <c r="P94" i="23184"/>
  <c r="B93" i="23184"/>
  <c r="AO94" i="23184"/>
  <c r="AF94" i="23184"/>
  <c r="AD94" i="23184"/>
  <c r="AE94" i="23184"/>
  <c r="R94" i="23184"/>
  <c r="AI94" i="23184"/>
  <c r="AH94" i="23184"/>
  <c r="N105" i="23184"/>
  <c r="BH84" i="23183"/>
  <c r="CC84" i="23183"/>
  <c r="BV84" i="23183"/>
  <c r="CH84" i="23183"/>
  <c r="CX84" i="23183"/>
  <c r="CA84" i="23183"/>
  <c r="BR84" i="23183"/>
  <c r="BF84" i="23183"/>
  <c r="CD84" i="23183"/>
  <c r="CO84" i="23183"/>
  <c r="BG84" i="23183"/>
  <c r="BE84" i="23183"/>
  <c r="CV84" i="23183"/>
  <c r="CW84" i="23183"/>
  <c r="BI84" i="23183"/>
  <c r="BL84" i="23183"/>
  <c r="BD84" i="23183"/>
  <c r="AG84" i="23183"/>
  <c r="R84" i="23183"/>
  <c r="C80" i="23184"/>
  <c r="BP84" i="23183"/>
  <c r="U84" i="23183"/>
  <c r="AU84" i="23183"/>
  <c r="AJ84" i="23183"/>
  <c r="O84" i="23183"/>
  <c r="AL84" i="23183"/>
  <c r="AW84" i="23183"/>
  <c r="X84" i="23183"/>
  <c r="I84" i="23183"/>
  <c r="CN72" i="23183"/>
  <c r="CF72" i="23183"/>
  <c r="CJ72" i="23183"/>
  <c r="CL72" i="23183"/>
  <c r="CO72" i="23183"/>
  <c r="CH72" i="23183"/>
  <c r="CX72" i="23183"/>
  <c r="BR72" i="23183"/>
  <c r="CT72" i="23183"/>
  <c r="CY72" i="23183"/>
  <c r="CE72" i="23183"/>
  <c r="CV72" i="23183"/>
  <c r="BU72" i="23183"/>
  <c r="BV72" i="23183"/>
  <c r="BG72" i="23183"/>
  <c r="CB72" i="23183"/>
  <c r="CI72" i="23183"/>
  <c r="C68" i="23184"/>
  <c r="B67" i="23201"/>
  <c r="CZ72" i="23183"/>
  <c r="BW72" i="23183"/>
  <c r="B67" i="23199"/>
  <c r="BS72" i="23183"/>
  <c r="CR72" i="23183"/>
  <c r="BZ72" i="23183"/>
  <c r="CS72" i="23183"/>
  <c r="B67" i="23200"/>
  <c r="CU72" i="23183"/>
  <c r="BI72" i="23183"/>
  <c r="CW72" i="23183"/>
  <c r="Z72" i="23183"/>
  <c r="BY72" i="23183"/>
  <c r="BH72" i="23183"/>
  <c r="BK72" i="23183"/>
  <c r="CM72" i="23183"/>
  <c r="BJ72" i="23183"/>
  <c r="BN72" i="23183"/>
  <c r="CP72" i="23183"/>
  <c r="AQ72" i="23183"/>
  <c r="AB72" i="23183"/>
  <c r="AX72" i="23183"/>
  <c r="W72" i="23183"/>
  <c r="CQ72" i="23183"/>
  <c r="AC72" i="23183"/>
  <c r="AN72" i="23183"/>
  <c r="AY72" i="23183"/>
  <c r="T72" i="23183"/>
  <c r="BT72" i="23183"/>
  <c r="BL72" i="23183"/>
  <c r="AS72" i="23183"/>
  <c r="AF72" i="23183"/>
  <c r="K72" i="23183"/>
  <c r="G72" i="23183"/>
  <c r="CX60" i="23183"/>
  <c r="CP60" i="23183"/>
  <c r="CT60" i="23183"/>
  <c r="CB60" i="23183"/>
  <c r="BT60" i="23183"/>
  <c r="CV60" i="23183"/>
  <c r="CN60" i="23183"/>
  <c r="CF60" i="23183"/>
  <c r="BY60" i="23183"/>
  <c r="CO60" i="23183"/>
  <c r="CS60" i="23183"/>
  <c r="BX60" i="23183"/>
  <c r="CL60" i="23183"/>
  <c r="CR60" i="23183"/>
  <c r="CA60" i="23183"/>
  <c r="BU60" i="23183"/>
  <c r="CM60" i="23183"/>
  <c r="CG60" i="23183"/>
  <c r="V60" i="23183"/>
  <c r="CQ60" i="23183"/>
  <c r="BZ60" i="23183"/>
  <c r="BW60" i="23183"/>
  <c r="B55" i="23201"/>
  <c r="F55" i="23201" s="1"/>
  <c r="C55" i="23201" s="1"/>
  <c r="BJ60" i="23183"/>
  <c r="CY60" i="23183"/>
  <c r="CI60" i="23183"/>
  <c r="BV60" i="23183"/>
  <c r="CH60" i="23183"/>
  <c r="BI60" i="23183"/>
  <c r="CU60" i="23183"/>
  <c r="BK60" i="23183"/>
  <c r="AI60" i="23183"/>
  <c r="CZ60" i="23183"/>
  <c r="CK60" i="23183"/>
  <c r="AJ60" i="23183"/>
  <c r="BQ60" i="23183"/>
  <c r="C56" i="23184"/>
  <c r="U56" i="23184" s="1"/>
  <c r="Y60" i="23183"/>
  <c r="CC60" i="23183"/>
  <c r="B55" i="23199"/>
  <c r="AP60" i="23183"/>
  <c r="AX60" i="23183"/>
  <c r="AG60" i="23183"/>
  <c r="S60" i="23183"/>
  <c r="BR60" i="23183"/>
  <c r="B55" i="23200"/>
  <c r="BF60" i="23183"/>
  <c r="AC60" i="23183"/>
  <c r="X60" i="23183"/>
  <c r="Z60" i="23183"/>
  <c r="U60" i="23183"/>
  <c r="BT48" i="23183"/>
  <c r="CK48" i="23183"/>
  <c r="CJ48" i="23183"/>
  <c r="V48" i="23183"/>
  <c r="C44" i="23184"/>
  <c r="BE48" i="23183"/>
  <c r="BP48" i="23183"/>
  <c r="BC48" i="23183"/>
  <c r="B43" i="23199"/>
  <c r="B43" i="23201"/>
  <c r="BG48" i="23183"/>
  <c r="BD48" i="23183"/>
  <c r="B43" i="23200"/>
  <c r="AI48" i="23183"/>
  <c r="BU48" i="23183"/>
  <c r="AG48" i="23183"/>
  <c r="AU48" i="23183"/>
  <c r="S48" i="23183"/>
  <c r="Y48" i="23183"/>
  <c r="CV48" i="23183"/>
  <c r="BM48" i="23183"/>
  <c r="AW48" i="23183"/>
  <c r="AE48" i="23183"/>
  <c r="AB48" i="23183"/>
  <c r="P48" i="23183"/>
  <c r="BY48" i="23183"/>
  <c r="BO48" i="23183"/>
  <c r="AH48" i="23183"/>
  <c r="AX48" i="23183"/>
  <c r="AQ48" i="23183"/>
  <c r="AF48" i="23183"/>
  <c r="CK36" i="23183"/>
  <c r="CG36" i="23183"/>
  <c r="CS36" i="23183"/>
  <c r="CY36" i="23183"/>
  <c r="CV36" i="23183"/>
  <c r="B31" i="23200"/>
  <c r="CN36" i="23183"/>
  <c r="CO36" i="23183"/>
  <c r="B31" i="23199"/>
  <c r="CJ36" i="23183"/>
  <c r="BJ36" i="23183"/>
  <c r="BV36" i="23183"/>
  <c r="BH36" i="23183"/>
  <c r="BL36" i="23183"/>
  <c r="BK36" i="23183"/>
  <c r="BM36" i="23183"/>
  <c r="BE36" i="23183"/>
  <c r="BP36" i="23183"/>
  <c r="BC36" i="23183"/>
  <c r="BI36" i="23183"/>
  <c r="AW36" i="23183"/>
  <c r="AC36" i="23183"/>
  <c r="AG36" i="23183"/>
  <c r="BG36" i="23183"/>
  <c r="AX36" i="23183"/>
  <c r="AQ36" i="23183"/>
  <c r="AH36" i="23183"/>
  <c r="BR24" i="23183"/>
  <c r="BY24" i="23183"/>
  <c r="BS24" i="23183"/>
  <c r="BU24" i="23183"/>
  <c r="C20" i="23184"/>
  <c r="CJ24" i="23183"/>
  <c r="B19" i="23199"/>
  <c r="E19" i="23199" s="1"/>
  <c r="CK24" i="23183"/>
  <c r="BI24" i="23183"/>
  <c r="BQ24" i="23183"/>
  <c r="CC24" i="23183"/>
  <c r="B19" i="23201"/>
  <c r="F19" i="23201" s="1"/>
  <c r="BH24" i="23183"/>
  <c r="BL24" i="23183"/>
  <c r="W24" i="23183"/>
  <c r="AA24" i="23183"/>
  <c r="AI24" i="23183"/>
  <c r="AB24" i="23183"/>
  <c r="BJ24" i="23183"/>
  <c r="BD24" i="23183"/>
  <c r="X24" i="23183"/>
  <c r="AD24" i="23183"/>
  <c r="AN104" i="23184"/>
  <c r="AL104" i="23184"/>
  <c r="AV104" i="23184"/>
  <c r="AP104" i="23184"/>
  <c r="AK104" i="23184"/>
  <c r="AI104" i="23184"/>
  <c r="Y104" i="23184"/>
  <c r="P104" i="23184"/>
  <c r="Z104" i="23184"/>
  <c r="S104" i="23184"/>
  <c r="AD104" i="23184"/>
  <c r="AG104" i="23184"/>
  <c r="X104" i="23184"/>
  <c r="I104" i="23184"/>
  <c r="AU104" i="23184"/>
  <c r="V104" i="23184"/>
  <c r="M104" i="23184"/>
  <c r="K104" i="23184"/>
  <c r="AA104" i="23184"/>
  <c r="Q104" i="23184"/>
  <c r="O104" i="23184"/>
  <c r="E104" i="23184"/>
  <c r="F104" i="23184"/>
  <c r="N104" i="23184"/>
  <c r="B103" i="23184"/>
  <c r="AV93" i="23184"/>
  <c r="J93" i="23184"/>
  <c r="R93" i="23184"/>
  <c r="X93" i="23184"/>
  <c r="B92" i="23184"/>
  <c r="S93" i="23184"/>
  <c r="F93" i="23184"/>
  <c r="Y93" i="23184"/>
  <c r="U93" i="23184"/>
  <c r="AF93" i="23184"/>
  <c r="Z93" i="23184"/>
  <c r="G93" i="23184"/>
  <c r="N93" i="23184"/>
  <c r="O93" i="23184"/>
  <c r="AB93" i="23184"/>
  <c r="AA93" i="23184"/>
  <c r="AI93" i="23184"/>
  <c r="I93" i="23184"/>
  <c r="E93" i="23184"/>
  <c r="AO93" i="23184"/>
  <c r="V93" i="23184"/>
  <c r="P93" i="23184"/>
  <c r="AC93" i="23184"/>
  <c r="AE93" i="23184"/>
  <c r="C84" i="23183"/>
  <c r="G84" i="23183"/>
  <c r="G60" i="23183"/>
  <c r="J84" i="23183"/>
  <c r="S72" i="23183"/>
  <c r="Y84" i="23183"/>
  <c r="AR36" i="23183"/>
  <c r="AJ36" i="23183"/>
  <c r="AR60" i="23183"/>
  <c r="AZ60" i="23183"/>
  <c r="AN60" i="23183"/>
  <c r="AA84" i="23183"/>
  <c r="AN84" i="23183"/>
  <c r="AV24" i="23183"/>
  <c r="AW24" i="23183"/>
  <c r="G24" i="23183"/>
  <c r="R48" i="23183"/>
  <c r="AH72" i="23183"/>
  <c r="BE24" i="23183"/>
  <c r="BK84" i="23183"/>
  <c r="AJ93" i="23184"/>
  <c r="K94" i="23184"/>
  <c r="V94" i="23184"/>
  <c r="Y105" i="23184"/>
  <c r="AJ104" i="23184"/>
  <c r="BK24" i="23183"/>
  <c r="D48" i="23183"/>
  <c r="I48" i="23183"/>
  <c r="P72" i="23183"/>
  <c r="C23" i="23199"/>
  <c r="AI72" i="23183"/>
  <c r="AD36" i="23183"/>
  <c r="X36" i="23183"/>
  <c r="AE60" i="23183"/>
  <c r="I60" i="23183"/>
  <c r="X72" i="23183"/>
  <c r="AM84" i="23183"/>
  <c r="AP24" i="23183"/>
  <c r="AK24" i="23183"/>
  <c r="X48" i="23183"/>
  <c r="AS48" i="23183"/>
  <c r="V72" i="23183"/>
  <c r="S84" i="23183"/>
  <c r="V84" i="23183"/>
  <c r="BC60" i="23183"/>
  <c r="BF48" i="23183"/>
  <c r="BF72" i="23183"/>
  <c r="Z84" i="23183"/>
  <c r="F94" i="23184"/>
  <c r="AD93" i="23184"/>
  <c r="AE105" i="23184"/>
  <c r="AF104" i="23184"/>
  <c r="B31" i="23201"/>
  <c r="AM116" i="23184"/>
  <c r="M60" i="23183"/>
  <c r="E48" i="23183"/>
  <c r="F72" i="23183"/>
  <c r="J48" i="23183"/>
  <c r="AO48" i="23183"/>
  <c r="AK60" i="23183"/>
  <c r="AN36" i="23183"/>
  <c r="AV36" i="23183"/>
  <c r="AI36" i="23183"/>
  <c r="R60" i="23183"/>
  <c r="AS84" i="23183"/>
  <c r="W60" i="23183"/>
  <c r="AL72" i="23183"/>
  <c r="AL24" i="23183"/>
  <c r="Y24" i="23183"/>
  <c r="AR48" i="23183"/>
  <c r="AC48" i="23183"/>
  <c r="AG72" i="23183"/>
  <c r="AA72" i="23183"/>
  <c r="AE84" i="23183"/>
  <c r="BL60" i="23183"/>
  <c r="BO60" i="23183"/>
  <c r="BI48" i="23183"/>
  <c r="BE72" i="23183"/>
  <c r="AH93" i="23184"/>
  <c r="J94" i="23184"/>
  <c r="V105" i="23184"/>
  <c r="AE104" i="23184"/>
  <c r="R105" i="23184"/>
  <c r="AN93" i="23184"/>
  <c r="CH24" i="23183"/>
  <c r="V56" i="23183"/>
  <c r="U44" i="23183"/>
  <c r="AK80" i="23183"/>
  <c r="BE56" i="23183"/>
  <c r="BN44" i="23183"/>
  <c r="AH89" i="23184"/>
  <c r="I44" i="23183"/>
  <c r="AC56" i="23183"/>
  <c r="BA56" i="23183"/>
  <c r="AX68" i="23183"/>
  <c r="AU80" i="23183"/>
  <c r="X56" i="23183"/>
  <c r="R80" i="23183"/>
  <c r="CY80" i="23183"/>
  <c r="CZ80" i="23183"/>
  <c r="C76" i="23184"/>
  <c r="CD80" i="23183"/>
  <c r="BV80" i="23183"/>
  <c r="BP80" i="23183"/>
  <c r="BG80" i="23183"/>
  <c r="BH80" i="23183"/>
  <c r="BC80" i="23183"/>
  <c r="BI80" i="23183"/>
  <c r="Y80" i="23183"/>
  <c r="BJ80" i="23183"/>
  <c r="AQ80" i="23183"/>
  <c r="BK80" i="23183"/>
  <c r="AF80" i="23183"/>
  <c r="AR80" i="23183"/>
  <c r="U80" i="23183"/>
  <c r="BM80" i="23183"/>
  <c r="CJ68" i="23183"/>
  <c r="BY68" i="23183"/>
  <c r="B63" i="23200"/>
  <c r="M63" i="23200" s="1"/>
  <c r="B63" i="23199"/>
  <c r="BE68" i="23183"/>
  <c r="B63" i="23201"/>
  <c r="X68" i="23183"/>
  <c r="BD68" i="23183"/>
  <c r="BG68" i="23183"/>
  <c r="BK68" i="23183"/>
  <c r="BO68" i="23183"/>
  <c r="AR68" i="23183"/>
  <c r="BL68" i="23183"/>
  <c r="AC68" i="23183"/>
  <c r="BM68" i="23183"/>
  <c r="AD68" i="23183"/>
  <c r="AB68" i="23183"/>
  <c r="CM68" i="23183"/>
  <c r="BP68" i="23183"/>
  <c r="AE68" i="23183"/>
  <c r="CV56" i="23183"/>
  <c r="CX56" i="23183"/>
  <c r="BV56" i="23183"/>
  <c r="BW56" i="23183"/>
  <c r="C52" i="23184"/>
  <c r="BN56" i="23183"/>
  <c r="BD56" i="23183"/>
  <c r="BF56" i="23183"/>
  <c r="AP56" i="23183"/>
  <c r="BP56" i="23183"/>
  <c r="BI56" i="23183"/>
  <c r="BJ56" i="23183"/>
  <c r="BK56" i="23183"/>
  <c r="BC56" i="23183"/>
  <c r="BY44" i="23183"/>
  <c r="CA44" i="23183"/>
  <c r="BD44" i="23183"/>
  <c r="BH44" i="23183"/>
  <c r="BI44" i="23183"/>
  <c r="BP44" i="23183"/>
  <c r="BE44" i="23183"/>
  <c r="AK44" i="23183"/>
  <c r="BJ44" i="23183"/>
  <c r="CP32" i="23183"/>
  <c r="C28" i="23184"/>
  <c r="B27" i="23199"/>
  <c r="BH32" i="23183"/>
  <c r="BK32" i="23183"/>
  <c r="BL32" i="23183"/>
  <c r="BO32" i="23183"/>
  <c r="BD32" i="23183"/>
  <c r="BP32" i="23183"/>
  <c r="B15" i="23201"/>
  <c r="CP20" i="23183"/>
  <c r="AV89" i="23184"/>
  <c r="Z89" i="23184"/>
  <c r="I89" i="23184"/>
  <c r="Q89" i="23184"/>
  <c r="AB89" i="23184"/>
  <c r="AF89" i="23184"/>
  <c r="M89" i="23184"/>
  <c r="Y89" i="23184"/>
  <c r="X89" i="23184"/>
  <c r="L89" i="23184"/>
  <c r="AI89" i="23184"/>
  <c r="G89" i="23184"/>
  <c r="J89" i="23184"/>
  <c r="H89" i="23184"/>
  <c r="AI24" i="23184"/>
  <c r="M41" i="23184"/>
  <c r="AV41" i="23184"/>
  <c r="AV113" i="23184"/>
  <c r="S113" i="23184"/>
  <c r="R113" i="23184"/>
  <c r="AO113" i="23184"/>
  <c r="AS102" i="23184"/>
  <c r="AL102" i="23184"/>
  <c r="R102" i="23184"/>
  <c r="S102" i="23184"/>
  <c r="AU102" i="23184"/>
  <c r="AV102" i="23184"/>
  <c r="Z102" i="23184"/>
  <c r="M102" i="23184"/>
  <c r="AK102" i="23184"/>
  <c r="N102" i="23184"/>
  <c r="AB102" i="23184"/>
  <c r="T102" i="23184"/>
  <c r="V102" i="23184"/>
  <c r="O102" i="23184"/>
  <c r="CR81" i="23183"/>
  <c r="CG81" i="23183"/>
  <c r="CX69" i="23183"/>
  <c r="CA69" i="23183"/>
  <c r="CK69" i="23183"/>
  <c r="CA57" i="23183"/>
  <c r="BU57" i="23183"/>
  <c r="BX57" i="23183"/>
  <c r="CX57" i="23183"/>
  <c r="CD57" i="23183"/>
  <c r="BS57" i="23183"/>
  <c r="CG45" i="23183"/>
  <c r="BZ45" i="23183"/>
  <c r="CQ45" i="23183"/>
  <c r="CI33" i="23183"/>
  <c r="CM33" i="23183"/>
  <c r="BQ33" i="23183"/>
  <c r="CS33" i="23183"/>
  <c r="CO33" i="23183"/>
  <c r="BS33" i="23183"/>
  <c r="CE33" i="23183"/>
  <c r="B16" i="23201"/>
  <c r="B16" i="23200"/>
  <c r="CL21" i="23183"/>
  <c r="CP21" i="23183"/>
  <c r="BZ21" i="23183"/>
  <c r="CD21" i="23183"/>
  <c r="AP112" i="23184"/>
  <c r="AV112" i="23184"/>
  <c r="S112" i="23184"/>
  <c r="AO112" i="23184"/>
  <c r="AJ112" i="23184"/>
  <c r="P112" i="23184"/>
  <c r="AS112" i="23184"/>
  <c r="V112" i="23184"/>
  <c r="AA112" i="23184"/>
  <c r="AV38" i="23184"/>
  <c r="T59" i="23184"/>
  <c r="AV59" i="23184"/>
  <c r="AU87" i="23184"/>
  <c r="AV87" i="23184"/>
  <c r="AK87" i="23184"/>
  <c r="AP87" i="23184"/>
  <c r="B22" i="23199"/>
  <c r="E22" i="23199" s="1"/>
  <c r="BC27" i="23183"/>
  <c r="C71" i="23184"/>
  <c r="AM71" i="23184" s="1"/>
  <c r="BX63" i="23183"/>
  <c r="CR76" i="23183"/>
  <c r="CJ76" i="23183"/>
  <c r="BZ76" i="23183"/>
  <c r="CC76" i="23183"/>
  <c r="BU64" i="23183"/>
  <c r="BY64" i="23183"/>
  <c r="BZ64" i="23183"/>
  <c r="BR64" i="23183"/>
  <c r="CG52" i="23183"/>
  <c r="CK52" i="23183"/>
  <c r="BZ52" i="23183"/>
  <c r="BR52" i="23183"/>
  <c r="CJ40" i="23183"/>
  <c r="CM40" i="23183"/>
  <c r="BQ40" i="23183"/>
  <c r="BU40" i="23183"/>
  <c r="BY28" i="23183"/>
  <c r="BQ28" i="23183"/>
  <c r="BU28" i="23183"/>
  <c r="AN109" i="23184"/>
  <c r="AK109" i="23184"/>
  <c r="R109" i="23184"/>
  <c r="U109" i="23184"/>
  <c r="AS109" i="23184"/>
  <c r="AV109" i="23184"/>
  <c r="AP98" i="23184"/>
  <c r="AO98" i="23184"/>
  <c r="K98" i="23184"/>
  <c r="AM98" i="23184"/>
  <c r="T98" i="23184"/>
  <c r="AS98" i="23184"/>
  <c r="BS87" i="23183"/>
  <c r="CT87" i="23183"/>
  <c r="CX87" i="23183"/>
  <c r="CU87" i="23183"/>
  <c r="CA87" i="23183"/>
  <c r="BW87" i="23183"/>
  <c r="CO87" i="23183"/>
  <c r="CG75" i="23183"/>
  <c r="CI75" i="23183"/>
  <c r="BS75" i="23183"/>
  <c r="CV75" i="23183"/>
  <c r="CL75" i="23183"/>
  <c r="CE75" i="23183"/>
  <c r="CY75" i="23183"/>
  <c r="CH75" i="23183"/>
  <c r="CZ63" i="23183"/>
  <c r="CR63" i="23183"/>
  <c r="BY63" i="23183"/>
  <c r="BZ63" i="23183"/>
  <c r="BR63" i="23183"/>
  <c r="BV63" i="23183"/>
  <c r="CL63" i="23183"/>
  <c r="CD63" i="23183"/>
  <c r="CH63" i="23183"/>
  <c r="CY63" i="23183"/>
  <c r="CQ63" i="23183"/>
  <c r="CU63" i="23183"/>
  <c r="BT51" i="23183"/>
  <c r="CN51" i="23183"/>
  <c r="BV51" i="23183"/>
  <c r="BZ51" i="23183"/>
  <c r="BW51" i="23183"/>
  <c r="CU51" i="23183"/>
  <c r="BQ51" i="23183"/>
  <c r="CX51" i="23183"/>
  <c r="CH39" i="23183"/>
  <c r="BZ39" i="23183"/>
  <c r="CD39" i="23183"/>
  <c r="BX39" i="23183"/>
  <c r="CP39" i="23183"/>
  <c r="BY39" i="23183"/>
  <c r="BU39" i="23183"/>
  <c r="CN39" i="23183"/>
  <c r="BS27" i="23183"/>
  <c r="CN27" i="23183"/>
  <c r="CL27" i="23183"/>
  <c r="BU27" i="23183"/>
  <c r="BR27" i="23183"/>
  <c r="CM27" i="23183"/>
  <c r="S119" i="23184"/>
  <c r="N119" i="23184"/>
  <c r="AO119" i="23184"/>
  <c r="AS119" i="23184"/>
  <c r="AM119" i="23184"/>
  <c r="Q119" i="23184"/>
  <c r="AP108" i="23184"/>
  <c r="AB108" i="23184"/>
  <c r="U108" i="23184"/>
  <c r="O108" i="23184"/>
  <c r="AS108" i="23184"/>
  <c r="L108" i="23184"/>
  <c r="AU108" i="23184"/>
  <c r="H55" i="23204"/>
  <c r="D4" i="23208" s="1"/>
  <c r="I36" i="23177"/>
  <c r="AV97" i="23184"/>
  <c r="CF82" i="23183"/>
  <c r="BV34" i="23183"/>
  <c r="CE58" i="23183"/>
  <c r="CJ49" i="23183"/>
  <c r="CD82" i="23183"/>
  <c r="CI49" i="23183"/>
  <c r="AV115" i="23184"/>
  <c r="AV100" i="23184"/>
  <c r="AV111" i="23184"/>
  <c r="F253" i="23198"/>
  <c r="F250" i="23198"/>
  <c r="C67" i="23198"/>
  <c r="D66" i="23198" s="1"/>
  <c r="E127" i="23198"/>
  <c r="F123" i="23198" s="1"/>
  <c r="E305" i="23198"/>
  <c r="D252" i="23198"/>
  <c r="AF30" i="23184"/>
  <c r="AI30" i="23184"/>
  <c r="F24" i="23199"/>
  <c r="P29" i="23183"/>
  <c r="N77" i="23183"/>
  <c r="J53" i="23183"/>
  <c r="AH29" i="23183"/>
  <c r="AB41" i="23183"/>
  <c r="AT53" i="23183"/>
  <c r="BA77" i="23183"/>
  <c r="AN77" i="23183"/>
  <c r="V77" i="23183"/>
  <c r="BE41" i="23183"/>
  <c r="AF100" i="23184"/>
  <c r="AS90" i="23184"/>
  <c r="CZ29" i="23183"/>
  <c r="F84" i="23198"/>
  <c r="AC30" i="23184"/>
  <c r="D24" i="23199"/>
  <c r="N29" i="23183"/>
  <c r="AR77" i="23183"/>
  <c r="AE29" i="23183"/>
  <c r="AS41" i="23183"/>
  <c r="S65" i="23183"/>
  <c r="BC53" i="23183"/>
  <c r="G100" i="23184"/>
  <c r="Q110" i="23184"/>
  <c r="D45" i="23200"/>
  <c r="K45" i="23200"/>
  <c r="CG41" i="23183"/>
  <c r="H34" i="23200"/>
  <c r="H24" i="23199"/>
  <c r="S29" i="23183"/>
  <c r="AP65" i="23183"/>
  <c r="BG65" i="23183"/>
  <c r="Q90" i="23184"/>
  <c r="AA110" i="23184"/>
  <c r="CV53" i="23183"/>
  <c r="C24" i="23199"/>
  <c r="K29" i="23183"/>
  <c r="L65" i="23183"/>
  <c r="AF53" i="23183"/>
  <c r="AS65" i="23183"/>
  <c r="AL65" i="23183"/>
  <c r="CL77" i="23183"/>
  <c r="CX77" i="23183"/>
  <c r="CO77" i="23183"/>
  <c r="BV77" i="23183"/>
  <c r="BU77" i="23183"/>
  <c r="BR77" i="23183"/>
  <c r="CH77" i="23183"/>
  <c r="CA77" i="23183"/>
  <c r="CD77" i="23183"/>
  <c r="CT77" i="23183"/>
  <c r="CM77" i="23183"/>
  <c r="CP77" i="23183"/>
  <c r="BW77" i="23183"/>
  <c r="CY77" i="23183"/>
  <c r="BS77" i="23183"/>
  <c r="BX77" i="23183"/>
  <c r="CB77" i="23183"/>
  <c r="CE77" i="23183"/>
  <c r="BY77" i="23183"/>
  <c r="CN77" i="23183"/>
  <c r="CQ77" i="23183"/>
  <c r="CJ77" i="23183"/>
  <c r="BQ77" i="23183"/>
  <c r="CG77" i="23183"/>
  <c r="CW77" i="23183"/>
  <c r="BC77" i="23183"/>
  <c r="U77" i="23183"/>
  <c r="AD77" i="23183"/>
  <c r="AB77" i="23183"/>
  <c r="P77" i="23183"/>
  <c r="BZ77" i="23183"/>
  <c r="BO77" i="23183"/>
  <c r="X77" i="23183"/>
  <c r="W77" i="23183"/>
  <c r="AM77" i="23183"/>
  <c r="F77" i="23183"/>
  <c r="AP77" i="23183"/>
  <c r="CZ77" i="23183"/>
  <c r="B72" i="23201"/>
  <c r="BI77" i="23183"/>
  <c r="BD77" i="23183"/>
  <c r="AI77" i="23183"/>
  <c r="AG77" i="23183"/>
  <c r="AW77" i="23183"/>
  <c r="S77" i="23183"/>
  <c r="H77" i="23183"/>
  <c r="CS77" i="23183"/>
  <c r="B72" i="23199"/>
  <c r="BP77" i="23183"/>
  <c r="AL77" i="23183"/>
  <c r="AX77" i="23183"/>
  <c r="AE77" i="23183"/>
  <c r="J77" i="23183"/>
  <c r="CI77" i="23183"/>
  <c r="B72" i="23200"/>
  <c r="BE77" i="23183"/>
  <c r="BJ77" i="23183"/>
  <c r="AZ77" i="23183"/>
  <c r="AQ77" i="23183"/>
  <c r="L77" i="23183"/>
  <c r="BT77" i="23183"/>
  <c r="BG77" i="23183"/>
  <c r="BL77" i="23183"/>
  <c r="CF77" i="23183"/>
  <c r="C73" i="23184"/>
  <c r="AV73" i="23184" s="1"/>
  <c r="BH77" i="23183"/>
  <c r="CR77" i="23183"/>
  <c r="BK77" i="23183"/>
  <c r="Z77" i="23183"/>
  <c r="AK77" i="23183"/>
  <c r="AU77" i="23183"/>
  <c r="C77" i="23183"/>
  <c r="G77" i="23183"/>
  <c r="Q77" i="23183"/>
  <c r="CU77" i="23183"/>
  <c r="AF77" i="23183"/>
  <c r="AJ77" i="23183"/>
  <c r="AV77" i="23183"/>
  <c r="AO77" i="23183"/>
  <c r="E77" i="23183"/>
  <c r="D77" i="23183"/>
  <c r="CK77" i="23183"/>
  <c r="BM77" i="23183"/>
  <c r="AH77" i="23183"/>
  <c r="AY77" i="23183"/>
  <c r="AA77" i="23183"/>
  <c r="CX65" i="23183"/>
  <c r="BR65" i="23183"/>
  <c r="CT65" i="23183"/>
  <c r="CS65" i="23183"/>
  <c r="CD65" i="23183"/>
  <c r="BW65" i="23183"/>
  <c r="B60" i="23201"/>
  <c r="CA65" i="23183"/>
  <c r="CP65" i="23183"/>
  <c r="CI65" i="23183"/>
  <c r="B60" i="23199"/>
  <c r="CM65" i="23183"/>
  <c r="BS65" i="23183"/>
  <c r="CU65" i="23183"/>
  <c r="CY65" i="23183"/>
  <c r="CE65" i="23183"/>
  <c r="BX65" i="23183"/>
  <c r="CB65" i="23183"/>
  <c r="CQ65" i="23183"/>
  <c r="BY65" i="23183"/>
  <c r="CN65" i="23183"/>
  <c r="BT65" i="23183"/>
  <c r="CJ65" i="23183"/>
  <c r="BZ65" i="23183"/>
  <c r="CC65" i="23183"/>
  <c r="BV65" i="23183"/>
  <c r="CV65" i="23183"/>
  <c r="BO65" i="23183"/>
  <c r="AC65" i="23183"/>
  <c r="AT65" i="23183"/>
  <c r="D65" i="23183"/>
  <c r="N65" i="23183"/>
  <c r="G65" i="23183"/>
  <c r="CL65" i="23183"/>
  <c r="BD65" i="23183"/>
  <c r="AU65" i="23183"/>
  <c r="CZ65" i="23183"/>
  <c r="BP65" i="23183"/>
  <c r="AV65" i="23183"/>
  <c r="H65" i="23183"/>
  <c r="C65" i="23183"/>
  <c r="CG65" i="23183"/>
  <c r="BE65" i="23183"/>
  <c r="R65" i="23183"/>
  <c r="J65" i="23183"/>
  <c r="BQ65" i="23183"/>
  <c r="BF65" i="23183"/>
  <c r="AB65" i="23183"/>
  <c r="AN65" i="23183"/>
  <c r="AD65" i="23183"/>
  <c r="K65" i="23183"/>
  <c r="CF65" i="23183"/>
  <c r="BH65" i="23183"/>
  <c r="AG65" i="23183"/>
  <c r="W65" i="23183"/>
  <c r="CR65" i="23183"/>
  <c r="BK65" i="23183"/>
  <c r="BJ65" i="23183"/>
  <c r="BU65" i="23183"/>
  <c r="BL65" i="23183"/>
  <c r="U65" i="23183"/>
  <c r="AR65" i="23183"/>
  <c r="AO65" i="23183"/>
  <c r="AK65" i="23183"/>
  <c r="AY65" i="23183"/>
  <c r="AQ65" i="23183"/>
  <c r="M65" i="23183"/>
  <c r="CH65" i="23183"/>
  <c r="C61" i="23184"/>
  <c r="AV61" i="23184" s="1"/>
  <c r="BM65" i="23183"/>
  <c r="AF65" i="23183"/>
  <c r="AA65" i="23183"/>
  <c r="Z65" i="23183"/>
  <c r="AZ65" i="23183"/>
  <c r="V65" i="23183"/>
  <c r="E65" i="23183"/>
  <c r="CK65" i="23183"/>
  <c r="BN65" i="23183"/>
  <c r="BI65" i="23183"/>
  <c r="AM65" i="23183"/>
  <c r="BA65" i="23183"/>
  <c r="AH65" i="23183"/>
  <c r="Q65" i="23183"/>
  <c r="CX53" i="23183"/>
  <c r="CP53" i="23183"/>
  <c r="CT53" i="23183"/>
  <c r="CA53" i="23183"/>
  <c r="BS53" i="23183"/>
  <c r="BW53" i="23183"/>
  <c r="CM53" i="23183"/>
  <c r="CE53" i="23183"/>
  <c r="CI53" i="23183"/>
  <c r="CY53" i="23183"/>
  <c r="CQ53" i="23183"/>
  <c r="CU53" i="23183"/>
  <c r="CB53" i="23183"/>
  <c r="BT53" i="23183"/>
  <c r="BX53" i="23183"/>
  <c r="CN53" i="23183"/>
  <c r="CF53" i="23183"/>
  <c r="BY53" i="23183"/>
  <c r="B48" i="23199"/>
  <c r="CZ53" i="23183"/>
  <c r="CR53" i="23183"/>
  <c r="CJ53" i="23183"/>
  <c r="B48" i="23200"/>
  <c r="BZ53" i="23183"/>
  <c r="BR53" i="23183"/>
  <c r="BV53" i="23183"/>
  <c r="CW53" i="23183"/>
  <c r="BL53" i="23183"/>
  <c r="BO53" i="23183"/>
  <c r="AX53" i="23183"/>
  <c r="X53" i="23183"/>
  <c r="K53" i="23183"/>
  <c r="CL53" i="23183"/>
  <c r="BD53" i="23183"/>
  <c r="S53" i="23183"/>
  <c r="T53" i="23183"/>
  <c r="AY53" i="23183"/>
  <c r="AL53" i="23183"/>
  <c r="D53" i="23183"/>
  <c r="BQ53" i="23183"/>
  <c r="BP53" i="23183"/>
  <c r="AJ53" i="23183"/>
  <c r="AZ53" i="23183"/>
  <c r="Y53" i="23183"/>
  <c r="F53" i="23183"/>
  <c r="N53" i="23183"/>
  <c r="CC53" i="23183"/>
  <c r="BE53" i="23183"/>
  <c r="BA53" i="23183"/>
  <c r="AM53" i="23183"/>
  <c r="G53" i="23183"/>
  <c r="C53" i="23183"/>
  <c r="CO53" i="23183"/>
  <c r="BF53" i="23183"/>
  <c r="AS53" i="23183"/>
  <c r="AA53" i="23183"/>
  <c r="L53" i="23183"/>
  <c r="BU53" i="23183"/>
  <c r="B48" i="23201"/>
  <c r="BH53" i="23183"/>
  <c r="CG53" i="23183"/>
  <c r="BI53" i="23183"/>
  <c r="AK53" i="23183"/>
  <c r="AH53" i="23183"/>
  <c r="CS53" i="23183"/>
  <c r="AG53" i="23183"/>
  <c r="BJ53" i="23183"/>
  <c r="V53" i="23183"/>
  <c r="AI53" i="23183"/>
  <c r="AD53" i="23183"/>
  <c r="Q53" i="23183"/>
  <c r="CH53" i="23183"/>
  <c r="BM53" i="23183"/>
  <c r="BK53" i="23183"/>
  <c r="AB53" i="23183"/>
  <c r="AR53" i="23183"/>
  <c r="H53" i="23183"/>
  <c r="CK53" i="23183"/>
  <c r="BN53" i="23183"/>
  <c r="AO53" i="23183"/>
  <c r="AN53" i="23183"/>
  <c r="R53" i="23183"/>
  <c r="I53" i="23183"/>
  <c r="CO41" i="23183"/>
  <c r="CS41" i="23183"/>
  <c r="CW41" i="23183"/>
  <c r="BR41" i="23183"/>
  <c r="BV41" i="23183"/>
  <c r="BZ41" i="23183"/>
  <c r="CD41" i="23183"/>
  <c r="CH41" i="23183"/>
  <c r="CA41" i="23183"/>
  <c r="CP41" i="23183"/>
  <c r="CT41" i="23183"/>
  <c r="CB41" i="23183"/>
  <c r="BS41" i="23183"/>
  <c r="BW41" i="23183"/>
  <c r="CL41" i="23183"/>
  <c r="CE41" i="23183"/>
  <c r="CI41" i="23183"/>
  <c r="CM41" i="23183"/>
  <c r="CQ41" i="23183"/>
  <c r="CU41" i="23183"/>
  <c r="CN41" i="23183"/>
  <c r="BQ41" i="23183"/>
  <c r="BU41" i="23183"/>
  <c r="BY41" i="23183"/>
  <c r="B36" i="23200"/>
  <c r="CZ41" i="23183"/>
  <c r="C37" i="23184"/>
  <c r="AV37" i="23184" s="1"/>
  <c r="BN41" i="23183"/>
  <c r="BL41" i="23183"/>
  <c r="AP41" i="23183"/>
  <c r="F41" i="23183"/>
  <c r="AJ41" i="23183"/>
  <c r="Y41" i="23183"/>
  <c r="CC41" i="23183"/>
  <c r="BC41" i="23183"/>
  <c r="AW41" i="23183"/>
  <c r="Z41" i="23183"/>
  <c r="AC41" i="23183"/>
  <c r="BT41" i="23183"/>
  <c r="BO41" i="23183"/>
  <c r="AX41" i="23183"/>
  <c r="AL41" i="23183"/>
  <c r="AD41" i="23183"/>
  <c r="L41" i="23183"/>
  <c r="E41" i="23183"/>
  <c r="CF41" i="23183"/>
  <c r="BD41" i="23183"/>
  <c r="AY41" i="23183"/>
  <c r="AA41" i="23183"/>
  <c r="AE41" i="23183"/>
  <c r="Q41" i="23183"/>
  <c r="CR41" i="23183"/>
  <c r="BP41" i="23183"/>
  <c r="T41" i="23183"/>
  <c r="AZ41" i="23183"/>
  <c r="AM41" i="23183"/>
  <c r="AF41" i="23183"/>
  <c r="D41" i="23183"/>
  <c r="H41" i="23183"/>
  <c r="M41" i="23183"/>
  <c r="BX41" i="23183"/>
  <c r="BF41" i="23183"/>
  <c r="CJ41" i="23183"/>
  <c r="B36" i="23201"/>
  <c r="BG41" i="23183"/>
  <c r="AH41" i="23183"/>
  <c r="CV41" i="23183"/>
  <c r="BH41" i="23183"/>
  <c r="AK41" i="23183"/>
  <c r="AU41" i="23183"/>
  <c r="U41" i="23183"/>
  <c r="N41" i="23183"/>
  <c r="CK41" i="23183"/>
  <c r="B36" i="23199"/>
  <c r="BI41" i="23183"/>
  <c r="W41" i="23183"/>
  <c r="AQ41" i="23183"/>
  <c r="G41" i="23183"/>
  <c r="C41" i="23183"/>
  <c r="CX41" i="23183"/>
  <c r="R41" i="23183"/>
  <c r="BJ41" i="23183"/>
  <c r="AI41" i="23183"/>
  <c r="V41" i="23183"/>
  <c r="CO29" i="23183"/>
  <c r="CS29" i="23183"/>
  <c r="CW29" i="23183"/>
  <c r="BR29" i="23183"/>
  <c r="BV29" i="23183"/>
  <c r="BZ29" i="23183"/>
  <c r="B24" i="23200"/>
  <c r="CD29" i="23183"/>
  <c r="CH29" i="23183"/>
  <c r="CA29" i="23183"/>
  <c r="CP29" i="23183"/>
  <c r="CT29" i="23183"/>
  <c r="CB29" i="23183"/>
  <c r="BS29" i="23183"/>
  <c r="BW29" i="23183"/>
  <c r="CL29" i="23183"/>
  <c r="CE29" i="23183"/>
  <c r="CI29" i="23183"/>
  <c r="CM29" i="23183"/>
  <c r="CQ29" i="23183"/>
  <c r="CU29" i="23183"/>
  <c r="CN29" i="23183"/>
  <c r="BQ29" i="23183"/>
  <c r="BU29" i="23183"/>
  <c r="BY29" i="23183"/>
  <c r="CY29" i="23183"/>
  <c r="BM29" i="23183"/>
  <c r="BK29" i="23183"/>
  <c r="AX29" i="23183"/>
  <c r="AS29" i="23183"/>
  <c r="AI29" i="23183"/>
  <c r="Q29" i="23183"/>
  <c r="CC29" i="23183"/>
  <c r="C25" i="23184"/>
  <c r="AV25" i="23184" s="1"/>
  <c r="BN29" i="23183"/>
  <c r="AC29" i="23183"/>
  <c r="U29" i="23183"/>
  <c r="AJ29" i="23183"/>
  <c r="BT29" i="23183"/>
  <c r="BC29" i="23183"/>
  <c r="AO29" i="23183"/>
  <c r="AG29" i="23183"/>
  <c r="AK29" i="23183"/>
  <c r="H29" i="23183"/>
  <c r="CF29" i="23183"/>
  <c r="BO29" i="23183"/>
  <c r="AY29" i="23183"/>
  <c r="AT29" i="23183"/>
  <c r="AM29" i="23183"/>
  <c r="I29" i="23183"/>
  <c r="CR29" i="23183"/>
  <c r="BD29" i="23183"/>
  <c r="AZ29" i="23183"/>
  <c r="V29" i="23183"/>
  <c r="AP29" i="23183"/>
  <c r="J29" i="23183"/>
  <c r="BX29" i="23183"/>
  <c r="BL29" i="23183"/>
  <c r="BE29" i="23183"/>
  <c r="CJ29" i="23183"/>
  <c r="BF29" i="23183"/>
  <c r="CV29" i="23183"/>
  <c r="BG29" i="23183"/>
  <c r="M29" i="23183"/>
  <c r="BA29" i="23183"/>
  <c r="AL29" i="23183"/>
  <c r="AD29" i="23183"/>
  <c r="C29" i="23183"/>
  <c r="CK29" i="23183"/>
  <c r="BH29" i="23183"/>
  <c r="AW29" i="23183"/>
  <c r="T29" i="23183"/>
  <c r="AV29" i="23183"/>
  <c r="O29" i="23183"/>
  <c r="CX29" i="23183"/>
  <c r="B24" i="23201"/>
  <c r="BI29" i="23183"/>
  <c r="AB29" i="23183"/>
  <c r="AF29" i="23183"/>
  <c r="Y29" i="23183"/>
  <c r="G29" i="23183"/>
  <c r="S120" i="23184"/>
  <c r="AM120" i="23184"/>
  <c r="AO120" i="23184"/>
  <c r="AN120" i="23184"/>
  <c r="AI120" i="23184"/>
  <c r="Y120" i="23184"/>
  <c r="AC120" i="23184"/>
  <c r="J120" i="23184"/>
  <c r="Z120" i="23184"/>
  <c r="AA120" i="23184"/>
  <c r="I120" i="23184"/>
  <c r="L120" i="23184"/>
  <c r="X120" i="23184"/>
  <c r="G120" i="23184"/>
  <c r="AE120" i="23184"/>
  <c r="E120" i="23184"/>
  <c r="O120" i="23184"/>
  <c r="AF120" i="23184"/>
  <c r="V120" i="23184"/>
  <c r="F120" i="23184"/>
  <c r="Q120" i="23184"/>
  <c r="AG120" i="23184"/>
  <c r="B119" i="23184"/>
  <c r="AP110" i="23184"/>
  <c r="M110" i="23184"/>
  <c r="L110" i="23184"/>
  <c r="AL110" i="23184"/>
  <c r="AN110" i="23184"/>
  <c r="AO110" i="23184"/>
  <c r="J110" i="23184"/>
  <c r="AK110" i="23184"/>
  <c r="T110" i="23184"/>
  <c r="AU110" i="23184"/>
  <c r="AE110" i="23184"/>
  <c r="N110" i="23184"/>
  <c r="AJ110" i="23184"/>
  <c r="O110" i="23184"/>
  <c r="AC110" i="23184"/>
  <c r="P110" i="23184"/>
  <c r="U110" i="23184"/>
  <c r="Y110" i="23184"/>
  <c r="R110" i="23184"/>
  <c r="AD110" i="23184"/>
  <c r="H110" i="23184"/>
  <c r="F110" i="23184"/>
  <c r="Z110" i="23184"/>
  <c r="G110" i="23184"/>
  <c r="AS110" i="23184"/>
  <c r="AF110" i="23184"/>
  <c r="B109" i="23184"/>
  <c r="I110" i="23184"/>
  <c r="AB110" i="23184"/>
  <c r="AM110" i="23184"/>
  <c r="K110" i="23184"/>
  <c r="AG110" i="23184"/>
  <c r="X110" i="23184"/>
  <c r="AH110" i="23184"/>
  <c r="V110" i="23184"/>
  <c r="AP100" i="23184"/>
  <c r="X100" i="23184"/>
  <c r="AL100" i="23184"/>
  <c r="P100" i="23184"/>
  <c r="R100" i="23184"/>
  <c r="S100" i="23184"/>
  <c r="J100" i="23184"/>
  <c r="AM100" i="23184"/>
  <c r="T100" i="23184"/>
  <c r="O100" i="23184"/>
  <c r="AO100" i="23184"/>
  <c r="AN100" i="23184"/>
  <c r="AG100" i="23184"/>
  <c r="M100" i="23184"/>
  <c r="U100" i="23184"/>
  <c r="AK100" i="23184"/>
  <c r="AH100" i="23184"/>
  <c r="N100" i="23184"/>
  <c r="AI100" i="23184"/>
  <c r="Y100" i="23184"/>
  <c r="AB100" i="23184"/>
  <c r="AC100" i="23184"/>
  <c r="V100" i="23184"/>
  <c r="F100" i="23184"/>
  <c r="AA100" i="23184"/>
  <c r="AJ100" i="23184"/>
  <c r="AS100" i="23184"/>
  <c r="I100" i="23184"/>
  <c r="Z100" i="23184"/>
  <c r="H100" i="23184"/>
  <c r="B99" i="23184"/>
  <c r="AU100" i="23184"/>
  <c r="AE100" i="23184"/>
  <c r="L100" i="23184"/>
  <c r="T90" i="23184"/>
  <c r="AM90" i="23184"/>
  <c r="U90" i="23184"/>
  <c r="O90" i="23184"/>
  <c r="AO90" i="23184"/>
  <c r="AU90" i="23184"/>
  <c r="AN90" i="23184"/>
  <c r="AL90" i="23184"/>
  <c r="R90" i="23184"/>
  <c r="AK90" i="23184"/>
  <c r="AP90" i="23184"/>
  <c r="I90" i="23184"/>
  <c r="AB90" i="23184"/>
  <c r="AC90" i="23184"/>
  <c r="Y90" i="23184"/>
  <c r="E90" i="23184"/>
  <c r="H90" i="23184"/>
  <c r="F90" i="23184"/>
  <c r="AD90" i="23184"/>
  <c r="J90" i="23184"/>
  <c r="AE90" i="23184"/>
  <c r="K90" i="23184"/>
  <c r="AF90" i="23184"/>
  <c r="L90" i="23184"/>
  <c r="M90" i="23184"/>
  <c r="AH90" i="23184"/>
  <c r="X90" i="23184"/>
  <c r="S90" i="23184"/>
  <c r="N90" i="23184"/>
  <c r="AJ90" i="23184"/>
  <c r="P90" i="23184"/>
  <c r="AI90" i="23184"/>
  <c r="Z90" i="23184"/>
  <c r="G90" i="23184"/>
  <c r="V90" i="23184"/>
  <c r="E29" i="23183"/>
  <c r="I65" i="23183"/>
  <c r="P41" i="23183"/>
  <c r="W29" i="23183"/>
  <c r="S41" i="23183"/>
  <c r="AC53" i="23183"/>
  <c r="AW65" i="23183"/>
  <c r="BN77" i="23183"/>
  <c r="J59" i="23200"/>
  <c r="K59" i="23200"/>
  <c r="F59" i="23200"/>
  <c r="O59" i="23200"/>
  <c r="G59" i="23200"/>
  <c r="H59" i="23200"/>
  <c r="S110" i="23184"/>
  <c r="CO65" i="23183"/>
  <c r="AN30" i="23184"/>
  <c r="AE53" i="23183"/>
  <c r="R29" i="23183"/>
  <c r="AG41" i="23183"/>
  <c r="AP53" i="23183"/>
  <c r="P65" i="23183"/>
  <c r="Y77" i="23183"/>
  <c r="CV77" i="23183"/>
  <c r="I18" i="23193"/>
  <c r="K41" i="23183"/>
  <c r="T65" i="23183"/>
  <c r="AA29" i="23183"/>
  <c r="AR41" i="23183"/>
  <c r="AV53" i="23183"/>
  <c r="R77" i="23183"/>
  <c r="BJ29" i="23183"/>
  <c r="B89" i="23184"/>
  <c r="AD14" i="23184"/>
  <c r="AE14" i="23184"/>
  <c r="CC77" i="23183"/>
  <c r="D250" i="23198"/>
  <c r="K77" i="23183"/>
  <c r="P53" i="23183"/>
  <c r="AI65" i="23183"/>
  <c r="AJ65" i="23183"/>
  <c r="Z29" i="23183"/>
  <c r="AV41" i="23183"/>
  <c r="W53" i="23183"/>
  <c r="AT77" i="23183"/>
  <c r="X65" i="23183"/>
  <c r="BP29" i="23183"/>
  <c r="E110" i="23184"/>
  <c r="AH120" i="23184"/>
  <c r="Q100" i="23184"/>
  <c r="C49" i="23184"/>
  <c r="AV49" i="23184" s="1"/>
  <c r="D251" i="23198"/>
  <c r="Q30" i="23184"/>
  <c r="I41" i="23183"/>
  <c r="O53" i="23183"/>
  <c r="AU29" i="23183"/>
  <c r="AN41" i="23183"/>
  <c r="AU53" i="23183"/>
  <c r="AS77" i="23183"/>
  <c r="AC77" i="23183"/>
  <c r="BK41" i="23183"/>
  <c r="AD120" i="23184"/>
  <c r="AD100" i="23184"/>
  <c r="AT28" i="23183"/>
  <c r="AZ28" i="23183" s="1"/>
  <c r="BG66" i="23183"/>
  <c r="CF30" i="23183"/>
  <c r="CF42" i="23183"/>
  <c r="CC54" i="23183"/>
  <c r="BQ66" i="23183"/>
  <c r="CN78" i="23183"/>
  <c r="C50" i="23184"/>
  <c r="AV50" i="23184" s="1"/>
  <c r="CJ80" i="23183"/>
  <c r="CV80" i="23183"/>
  <c r="CA80" i="23183"/>
  <c r="CQ80" i="23183"/>
  <c r="CN68" i="23183"/>
  <c r="BQ68" i="23183"/>
  <c r="CD68" i="23183"/>
  <c r="CF68" i="23183"/>
  <c r="BU68" i="23183"/>
  <c r="CS68" i="23183"/>
  <c r="BW68" i="23183"/>
  <c r="CY56" i="23183"/>
  <c r="CN56" i="23183"/>
  <c r="B51" i="23199"/>
  <c r="BQ56" i="23183"/>
  <c r="BR56" i="23183"/>
  <c r="CE56" i="23183"/>
  <c r="CF56" i="23183"/>
  <c r="BU56" i="23183"/>
  <c r="CJ56" i="23183"/>
  <c r="BR44" i="23183"/>
  <c r="B39" i="23200"/>
  <c r="CP44" i="23183"/>
  <c r="BT44" i="23183"/>
  <c r="BV44" i="23183"/>
  <c r="CI44" i="23183"/>
  <c r="BT32" i="23183"/>
  <c r="BV32" i="23183"/>
  <c r="CI32" i="23183"/>
  <c r="BY32" i="23183"/>
  <c r="CY32" i="23183"/>
  <c r="CA32" i="23183"/>
  <c r="BR32" i="23183"/>
  <c r="AP113" i="23184"/>
  <c r="M113" i="23184"/>
  <c r="AN113" i="23184"/>
  <c r="O113" i="23184"/>
  <c r="N113" i="23184"/>
  <c r="T113" i="23184"/>
  <c r="AP103" i="23184"/>
  <c r="AM103" i="23184"/>
  <c r="AL103" i="23184"/>
  <c r="S103" i="23184"/>
  <c r="AP93" i="23184"/>
  <c r="AL93" i="23184"/>
  <c r="AK93" i="23184"/>
  <c r="AS93" i="23184"/>
  <c r="AM93" i="23184"/>
  <c r="AU93" i="23184"/>
  <c r="L93" i="23184"/>
  <c r="T93" i="23184"/>
  <c r="CX78" i="23183"/>
  <c r="CC78" i="23183"/>
  <c r="BV78" i="23183"/>
  <c r="BW78" i="23183"/>
  <c r="CO78" i="23183"/>
  <c r="CH78" i="23183"/>
  <c r="CA78" i="23183"/>
  <c r="BR78" i="23183"/>
  <c r="CT78" i="23183"/>
  <c r="CM78" i="23183"/>
  <c r="CD78" i="23183"/>
  <c r="CI78" i="23183"/>
  <c r="CY78" i="23183"/>
  <c r="CP78" i="23183"/>
  <c r="CV78" i="23183"/>
  <c r="BU78" i="23183"/>
  <c r="BS78" i="23183"/>
  <c r="CW78" i="23183"/>
  <c r="CU78" i="23183"/>
  <c r="CE78" i="23183"/>
  <c r="CJ78" i="23183"/>
  <c r="BZ78" i="23183"/>
  <c r="CG78" i="23183"/>
  <c r="CR78" i="23183"/>
  <c r="CX66" i="23183"/>
  <c r="CD66" i="23183"/>
  <c r="CT66" i="23183"/>
  <c r="CA66" i="23183"/>
  <c r="CP66" i="23183"/>
  <c r="BW66" i="23183"/>
  <c r="CM66" i="23183"/>
  <c r="BS66" i="23183"/>
  <c r="CI66" i="23183"/>
  <c r="CY66" i="23183"/>
  <c r="CE66" i="23183"/>
  <c r="CU66" i="23183"/>
  <c r="BU66" i="23183"/>
  <c r="CQ66" i="23183"/>
  <c r="CV66" i="23183"/>
  <c r="CB66" i="23183"/>
  <c r="BT66" i="23183"/>
  <c r="BY66" i="23183"/>
  <c r="CN66" i="23183"/>
  <c r="CF66" i="23183"/>
  <c r="CW66" i="23183"/>
  <c r="BZ66" i="23183"/>
  <c r="CO66" i="23183"/>
  <c r="BV66" i="23183"/>
  <c r="B61" i="23200"/>
  <c r="CX54" i="23183"/>
  <c r="CP54" i="23183"/>
  <c r="CT54" i="23183"/>
  <c r="CA54" i="23183"/>
  <c r="BS54" i="23183"/>
  <c r="BW54" i="23183"/>
  <c r="B49" i="23200"/>
  <c r="CM54" i="23183"/>
  <c r="CE54" i="23183"/>
  <c r="CI54" i="23183"/>
  <c r="CY54" i="23183"/>
  <c r="CQ54" i="23183"/>
  <c r="CU54" i="23183"/>
  <c r="CB54" i="23183"/>
  <c r="BT54" i="23183"/>
  <c r="CV54" i="23183"/>
  <c r="CN54" i="23183"/>
  <c r="CF54" i="23183"/>
  <c r="CW54" i="23183"/>
  <c r="CZ54" i="23183"/>
  <c r="CR54" i="23183"/>
  <c r="CK54" i="23183"/>
  <c r="BZ54" i="23183"/>
  <c r="BR54" i="23183"/>
  <c r="BV54" i="23183"/>
  <c r="CO42" i="23183"/>
  <c r="CS42" i="23183"/>
  <c r="CW42" i="23183"/>
  <c r="BR42" i="23183"/>
  <c r="BV42" i="23183"/>
  <c r="BZ42" i="23183"/>
  <c r="CD42" i="23183"/>
  <c r="CH42" i="23183"/>
  <c r="CA42" i="23183"/>
  <c r="B37" i="23201"/>
  <c r="CP42" i="23183"/>
  <c r="CT42" i="23183"/>
  <c r="CB42" i="23183"/>
  <c r="BS42" i="23183"/>
  <c r="BW42" i="23183"/>
  <c r="CL42" i="23183"/>
  <c r="CE42" i="23183"/>
  <c r="CI42" i="23183"/>
  <c r="CM42" i="23183"/>
  <c r="B37" i="23200"/>
  <c r="CQ42" i="23183"/>
  <c r="CU42" i="23183"/>
  <c r="CN42" i="23183"/>
  <c r="BQ42" i="23183"/>
  <c r="BU42" i="23183"/>
  <c r="BY42" i="23183"/>
  <c r="CO30" i="23183"/>
  <c r="CS30" i="23183"/>
  <c r="CW30" i="23183"/>
  <c r="BR30" i="23183"/>
  <c r="BV30" i="23183"/>
  <c r="BZ30" i="23183"/>
  <c r="CD30" i="23183"/>
  <c r="CH30" i="23183"/>
  <c r="CA30" i="23183"/>
  <c r="CP30" i="23183"/>
  <c r="CT30" i="23183"/>
  <c r="CB30" i="23183"/>
  <c r="BS30" i="23183"/>
  <c r="BW30" i="23183"/>
  <c r="CL30" i="23183"/>
  <c r="CE30" i="23183"/>
  <c r="CI30" i="23183"/>
  <c r="CM30" i="23183"/>
  <c r="CQ30" i="23183"/>
  <c r="CU30" i="23183"/>
  <c r="CN30" i="23183"/>
  <c r="B25" i="23201"/>
  <c r="BQ30" i="23183"/>
  <c r="BU30" i="23183"/>
  <c r="BY30" i="23183"/>
  <c r="AP121" i="23184"/>
  <c r="P121" i="23184"/>
  <c r="U121" i="23184"/>
  <c r="L121" i="23184"/>
  <c r="R121" i="23184"/>
  <c r="S121" i="23184"/>
  <c r="T121" i="23184"/>
  <c r="AL121" i="23184"/>
  <c r="AK121" i="23184"/>
  <c r="AU121" i="23184"/>
  <c r="L111" i="23184"/>
  <c r="S111" i="23184"/>
  <c r="N111" i="23184"/>
  <c r="AK111" i="23184"/>
  <c r="AM111" i="23184"/>
  <c r="AN111" i="23184"/>
  <c r="AS111" i="23184"/>
  <c r="T101" i="23184"/>
  <c r="L101" i="23184"/>
  <c r="AK101" i="23184"/>
  <c r="AP91" i="23184"/>
  <c r="S91" i="23184"/>
  <c r="AK91" i="23184"/>
  <c r="T91" i="23184"/>
  <c r="AS91" i="23184"/>
  <c r="AU91" i="23184"/>
  <c r="U91" i="23184"/>
  <c r="AO91" i="23184"/>
  <c r="J91" i="23184"/>
  <c r="AM91" i="23184"/>
  <c r="AN91" i="23184"/>
  <c r="AL91" i="23184"/>
  <c r="C74" i="23184"/>
  <c r="AV74" i="23184" s="1"/>
  <c r="CK30" i="23183"/>
  <c r="CK42" i="23183"/>
  <c r="CH54" i="23183"/>
  <c r="CH66" i="23183"/>
  <c r="CS78" i="23183"/>
  <c r="B13" i="23201"/>
  <c r="BR18" i="23183"/>
  <c r="CL76" i="23183"/>
  <c r="CO76" i="23183"/>
  <c r="CH76" i="23183"/>
  <c r="CX76" i="23183"/>
  <c r="BR76" i="23183"/>
  <c r="CT76" i="23183"/>
  <c r="CA76" i="23183"/>
  <c r="CD76" i="23183"/>
  <c r="BW76" i="23183"/>
  <c r="CM76" i="23183"/>
  <c r="CP76" i="23183"/>
  <c r="CU76" i="23183"/>
  <c r="CY76" i="23183"/>
  <c r="BS76" i="23183"/>
  <c r="CI76" i="23183"/>
  <c r="BU76" i="23183"/>
  <c r="CE76" i="23183"/>
  <c r="CV76" i="23183"/>
  <c r="B71" i="23201"/>
  <c r="CB76" i="23183"/>
  <c r="CQ76" i="23183"/>
  <c r="CW76" i="23183"/>
  <c r="BQ76" i="23183"/>
  <c r="CG76" i="23183"/>
  <c r="BX76" i="23183"/>
  <c r="CL64" i="23183"/>
  <c r="CD64" i="23183"/>
  <c r="CH64" i="23183"/>
  <c r="CX64" i="23183"/>
  <c r="CP64" i="23183"/>
  <c r="CT64" i="23183"/>
  <c r="CA64" i="23183"/>
  <c r="BS64" i="23183"/>
  <c r="CI64" i="23183"/>
  <c r="CM64" i="23183"/>
  <c r="CE64" i="23183"/>
  <c r="BW64" i="23183"/>
  <c r="CY64" i="23183"/>
  <c r="CQ64" i="23183"/>
  <c r="CU64" i="23183"/>
  <c r="CB64" i="23183"/>
  <c r="BT64" i="23183"/>
  <c r="CV64" i="23183"/>
  <c r="CN64" i="23183"/>
  <c r="CF64" i="23183"/>
  <c r="CW64" i="23183"/>
  <c r="CO64" i="23183"/>
  <c r="CG64" i="23183"/>
  <c r="CJ64" i="23183"/>
  <c r="B59" i="23199"/>
  <c r="CL52" i="23183"/>
  <c r="CD52" i="23183"/>
  <c r="CH52" i="23183"/>
  <c r="CX52" i="23183"/>
  <c r="CP52" i="23183"/>
  <c r="CT52" i="23183"/>
  <c r="B47" i="23199"/>
  <c r="CA52" i="23183"/>
  <c r="BS52" i="23183"/>
  <c r="BW52" i="23183"/>
  <c r="B47" i="23200"/>
  <c r="CM52" i="23183"/>
  <c r="CE52" i="23183"/>
  <c r="CI52" i="23183"/>
  <c r="CY52" i="23183"/>
  <c r="CQ52" i="23183"/>
  <c r="CU52" i="23183"/>
  <c r="CB52" i="23183"/>
  <c r="BT52" i="23183"/>
  <c r="CV52" i="23183"/>
  <c r="CN52" i="23183"/>
  <c r="CF52" i="23183"/>
  <c r="CW52" i="23183"/>
  <c r="CO52" i="23183"/>
  <c r="CS52" i="23183"/>
  <c r="BX52" i="23183"/>
  <c r="CC40" i="23183"/>
  <c r="CG40" i="23183"/>
  <c r="CK40" i="23183"/>
  <c r="CO40" i="23183"/>
  <c r="CS40" i="23183"/>
  <c r="CW40" i="23183"/>
  <c r="BR40" i="23183"/>
  <c r="BV40" i="23183"/>
  <c r="CX40" i="23183"/>
  <c r="CD40" i="23183"/>
  <c r="CH40" i="23183"/>
  <c r="CY40" i="23183"/>
  <c r="CP40" i="23183"/>
  <c r="CT40" i="23183"/>
  <c r="CZ40" i="23183"/>
  <c r="BS40" i="23183"/>
  <c r="BW40" i="23183"/>
  <c r="BZ40" i="23183"/>
  <c r="B35" i="23200"/>
  <c r="CE40" i="23183"/>
  <c r="CI40" i="23183"/>
  <c r="CA40" i="23183"/>
  <c r="CR40" i="23183"/>
  <c r="CV40" i="23183"/>
  <c r="CN40" i="23183"/>
  <c r="CC28" i="23183"/>
  <c r="CG28" i="23183"/>
  <c r="BZ28" i="23183"/>
  <c r="CO28" i="23183"/>
  <c r="BV28" i="23183"/>
  <c r="CA28" i="23183"/>
  <c r="BR28" i="23183"/>
  <c r="CH28" i="23183"/>
  <c r="CB28" i="23183"/>
  <c r="CD28" i="23183"/>
  <c r="BW28" i="23183"/>
  <c r="CL28" i="23183"/>
  <c r="CP28" i="23183"/>
  <c r="CI28" i="23183"/>
  <c r="CM28" i="23183"/>
  <c r="BS28" i="23183"/>
  <c r="CU28" i="23183"/>
  <c r="CN28" i="23183"/>
  <c r="CE28" i="23183"/>
  <c r="BX28" i="23183"/>
  <c r="B23" i="23201"/>
  <c r="CK28" i="23183"/>
  <c r="AP99" i="23184"/>
  <c r="AK99" i="23184"/>
  <c r="T99" i="23184"/>
  <c r="S89" i="23184"/>
  <c r="AS89" i="23184"/>
  <c r="AM89" i="23184"/>
  <c r="AS101" i="23184"/>
  <c r="CV30" i="23183"/>
  <c r="CV42" i="23183"/>
  <c r="CS54" i="23183"/>
  <c r="CS66" i="23183"/>
  <c r="CF78" i="23183"/>
  <c r="AU101" i="23184"/>
  <c r="CJ30" i="23183"/>
  <c r="CJ42" i="23183"/>
  <c r="CG54" i="23183"/>
  <c r="CG66" i="23183"/>
  <c r="BT78" i="23183"/>
  <c r="B49" i="23201"/>
  <c r="B25" i="23200"/>
  <c r="BX30" i="23183"/>
  <c r="BX42" i="23183"/>
  <c r="BU54" i="23183"/>
  <c r="CR66" i="23183"/>
  <c r="CQ78" i="23183"/>
  <c r="BJ54" i="23183"/>
  <c r="B25" i="23199"/>
  <c r="G25" i="23199" s="1"/>
  <c r="AO121" i="23184"/>
  <c r="P101" i="23184"/>
  <c r="AN121" i="23184"/>
  <c r="CG30" i="23183"/>
  <c r="CG42" i="23183"/>
  <c r="CD54" i="23183"/>
  <c r="BR66" i="23183"/>
  <c r="BQ78" i="23183"/>
  <c r="CI25" i="23183"/>
  <c r="C127" i="23198"/>
  <c r="D107" i="23198" s="1"/>
  <c r="C138" i="23198"/>
  <c r="D137" i="23198" s="1"/>
  <c r="C213" i="23198"/>
  <c r="D205" i="23198" s="1"/>
  <c r="C305" i="23198"/>
  <c r="E78" i="23198"/>
  <c r="E213" i="23198"/>
  <c r="F209" i="23198" s="1"/>
  <c r="E229" i="23198"/>
  <c r="F226" i="23198" s="1"/>
  <c r="G67" i="23198"/>
  <c r="C27" i="23198" s="1"/>
  <c r="CS73" i="23183"/>
  <c r="CJ84" i="23183"/>
  <c r="BU84" i="23183"/>
  <c r="BV49" i="23183"/>
  <c r="CG24" i="23183"/>
  <c r="BX24" i="23183"/>
  <c r="BU36" i="23183"/>
  <c r="CU48" i="23183"/>
  <c r="AH48" i="23209"/>
  <c r="CT84" i="23183"/>
  <c r="CM84" i="23183"/>
  <c r="CQ49" i="23183"/>
  <c r="BV24" i="23183"/>
  <c r="BW24" i="23183"/>
  <c r="CF36" i="23183"/>
  <c r="BW48" i="23183"/>
  <c r="I151" i="23210"/>
  <c r="I152" i="23210" s="1"/>
  <c r="CG84" i="23183"/>
  <c r="CL84" i="23183"/>
  <c r="CP24" i="23183"/>
  <c r="CX36" i="23183"/>
  <c r="CC36" i="23183"/>
  <c r="CF48" i="23183"/>
  <c r="BT87" i="23183"/>
  <c r="BZ26" i="23183"/>
  <c r="BQ26" i="23183"/>
  <c r="BR62" i="23183"/>
  <c r="F9" i="23208"/>
  <c r="F8" i="23208"/>
  <c r="Z7" i="23208"/>
  <c r="BX73" i="23183"/>
  <c r="CR84" i="23183"/>
  <c r="BZ84" i="23183"/>
  <c r="CD24" i="23183"/>
  <c r="CW36" i="23183"/>
  <c r="BQ36" i="23183"/>
  <c r="BS48" i="23183"/>
  <c r="CE87" i="23183"/>
  <c r="CK26" i="23183"/>
  <c r="CJ62" i="23183"/>
  <c r="CC62" i="23183"/>
  <c r="CP84" i="23183"/>
  <c r="CL48" i="23183"/>
  <c r="CP48" i="23183"/>
  <c r="BY62" i="23183"/>
  <c r="Z12" i="23208"/>
  <c r="K19" i="23183"/>
  <c r="M20" i="23183"/>
  <c r="AP20" i="23183"/>
  <c r="AW20" i="23183"/>
  <c r="AA20" i="23183"/>
  <c r="AL20" i="23183"/>
  <c r="BI19" i="23183"/>
  <c r="BW20" i="23183"/>
  <c r="CQ20" i="23183"/>
  <c r="CH20" i="23183"/>
  <c r="L19" i="23183"/>
  <c r="N20" i="23183"/>
  <c r="X19" i="23183"/>
  <c r="AR20" i="23183"/>
  <c r="AP19" i="23183"/>
  <c r="BH19" i="23183"/>
  <c r="CI20" i="23183"/>
  <c r="CN20" i="23183"/>
  <c r="L20" i="23183"/>
  <c r="AE20" i="23183"/>
  <c r="CE20" i="23183"/>
  <c r="M19" i="23183"/>
  <c r="C20" i="23183"/>
  <c r="T19" i="23183"/>
  <c r="AX19" i="23183"/>
  <c r="AJ19" i="23183"/>
  <c r="Z19" i="23183"/>
  <c r="AF20" i="23183"/>
  <c r="S20" i="23183"/>
  <c r="AM20" i="23183"/>
  <c r="BG19" i="23183"/>
  <c r="BV19" i="23183"/>
  <c r="BH20" i="23183"/>
  <c r="CJ20" i="23183"/>
  <c r="CK20" i="23183"/>
  <c r="N19" i="23183"/>
  <c r="P20" i="23183"/>
  <c r="F14" i="23201" s="1"/>
  <c r="AF19" i="23183"/>
  <c r="AW19" i="23183"/>
  <c r="U20" i="23183"/>
  <c r="AA19" i="23183"/>
  <c r="AI20" i="23183"/>
  <c r="AC19" i="23183"/>
  <c r="W20" i="23183"/>
  <c r="AH20" i="23183"/>
  <c r="AN20" i="23183"/>
  <c r="BJ20" i="23183"/>
  <c r="BM19" i="23183"/>
  <c r="BF19" i="23183"/>
  <c r="BL20" i="23183"/>
  <c r="BT19" i="23183"/>
  <c r="BW19" i="23183"/>
  <c r="BU20" i="23183"/>
  <c r="CA19" i="23183"/>
  <c r="C19" i="23183"/>
  <c r="E38" i="39" s="1"/>
  <c r="E39" i="39" s="1"/>
  <c r="D20" i="23183"/>
  <c r="AR19" i="23183"/>
  <c r="AV19" i="23183"/>
  <c r="AG20" i="23183"/>
  <c r="AL19" i="23183"/>
  <c r="AM19" i="23183"/>
  <c r="T20" i="23183"/>
  <c r="BM20" i="23183"/>
  <c r="BE19" i="23183"/>
  <c r="CF19" i="23183"/>
  <c r="BU19" i="23183"/>
  <c r="CI19" i="23183"/>
  <c r="Z20" i="23183"/>
  <c r="CV20" i="23183"/>
  <c r="AX20" i="23183"/>
  <c r="P19" i="23183"/>
  <c r="E20" i="23183"/>
  <c r="AC20" i="23183"/>
  <c r="AJ20" i="23183"/>
  <c r="BC20" i="23183"/>
  <c r="BE20" i="23183"/>
  <c r="BD19" i="23183"/>
  <c r="C16" i="23184"/>
  <c r="CU19" i="23183"/>
  <c r="CG19" i="23183"/>
  <c r="BQ20" i="23183"/>
  <c r="BZ19" i="23183"/>
  <c r="D19" i="23183"/>
  <c r="G20" i="23183"/>
  <c r="F20" i="23183"/>
  <c r="E15" i="23201" s="1"/>
  <c r="AO20" i="23183"/>
  <c r="AN19" i="23183"/>
  <c r="BD20" i="23183"/>
  <c r="BO19" i="23183"/>
  <c r="BZ20" i="23183"/>
  <c r="CA20" i="23183"/>
  <c r="CC20" i="23183"/>
  <c r="CL19" i="23183"/>
  <c r="BV20" i="23183"/>
  <c r="Y20" i="23183"/>
  <c r="V20" i="23183"/>
  <c r="E19" i="23183"/>
  <c r="H20" i="23183"/>
  <c r="AB20" i="23183"/>
  <c r="X20" i="23183"/>
  <c r="AK20" i="23183"/>
  <c r="BF20" i="23183"/>
  <c r="BG20" i="23183"/>
  <c r="BC19" i="23183"/>
  <c r="BR19" i="23183"/>
  <c r="BS19" i="23183"/>
  <c r="CL20" i="23183"/>
  <c r="CM20" i="23183"/>
  <c r="CO20" i="23183"/>
  <c r="CJ19" i="23183"/>
  <c r="BT20" i="23183"/>
  <c r="AD20" i="23183"/>
  <c r="F19" i="23183"/>
  <c r="E14" i="23201" s="1"/>
  <c r="I20" i="23183"/>
  <c r="R19" i="23183"/>
  <c r="BO20" i="23183"/>
  <c r="BI20" i="23183"/>
  <c r="U19" i="23183"/>
  <c r="CD19" i="23183"/>
  <c r="CE19" i="23183"/>
  <c r="BR20" i="23183"/>
  <c r="CF20" i="23183"/>
  <c r="CB20" i="23183"/>
  <c r="B15" i="23199"/>
  <c r="E15" i="23199" s="1"/>
  <c r="H19" i="23183"/>
  <c r="G19" i="23183"/>
  <c r="J20" i="23183"/>
  <c r="AG19" i="23183"/>
  <c r="Y19" i="23183"/>
  <c r="AK19" i="23183"/>
  <c r="AD19" i="23183"/>
  <c r="AQ19" i="23183"/>
  <c r="S19" i="23183"/>
  <c r="BK20" i="23183"/>
  <c r="BL19" i="23183"/>
  <c r="BQ19" i="23183"/>
  <c r="CP19" i="23183"/>
  <c r="CQ19" i="23183"/>
  <c r="CD20" i="23183"/>
  <c r="CK19" i="23183"/>
  <c r="CU20" i="23183"/>
  <c r="CH19" i="23183"/>
  <c r="B15" i="23200"/>
  <c r="O15" i="23200" s="1"/>
  <c r="F74" i="23198"/>
  <c r="F75" i="23198"/>
  <c r="F77" i="23198"/>
  <c r="F76" i="23198"/>
  <c r="F202" i="23198"/>
  <c r="F211" i="23198"/>
  <c r="F212" i="23198"/>
  <c r="C54" i="23198"/>
  <c r="D53" i="23198" s="1"/>
  <c r="E265" i="23198"/>
  <c r="F264" i="23198" s="1"/>
  <c r="E519" i="23198"/>
  <c r="F474" i="23198" s="1"/>
  <c r="I40" i="23193"/>
  <c r="C21" i="23193"/>
  <c r="I17" i="23202"/>
  <c r="F6" i="23198"/>
  <c r="D108" i="23198"/>
  <c r="D126" i="23198"/>
  <c r="E181" i="23198"/>
  <c r="F177" i="23198" s="1"/>
  <c r="E245" i="23198"/>
  <c r="E412" i="23198"/>
  <c r="F361" i="23198" s="1"/>
  <c r="H46" i="23193"/>
  <c r="C27" i="23193"/>
  <c r="E280" i="23198"/>
  <c r="F277" i="23198" s="1"/>
  <c r="H44" i="23193"/>
  <c r="C37" i="23193"/>
  <c r="D119" i="23198"/>
  <c r="C156" i="23198"/>
  <c r="D149" i="23198" s="1"/>
  <c r="E156" i="23198"/>
  <c r="F150" i="23198" s="1"/>
  <c r="I38" i="23193"/>
  <c r="E17" i="23205"/>
  <c r="F17" i="23205" s="1"/>
  <c r="H17" i="23205" s="1"/>
  <c r="I17" i="23205" s="1"/>
  <c r="C24" i="23193"/>
  <c r="C26" i="23193"/>
  <c r="K4" i="23193"/>
  <c r="H56" i="23193" s="1"/>
  <c r="C16" i="23193"/>
  <c r="I41" i="23193"/>
  <c r="H43" i="23193"/>
  <c r="C18" i="23193"/>
  <c r="C44" i="23193"/>
  <c r="C12" i="23193"/>
  <c r="H29" i="23193"/>
  <c r="I37" i="23193"/>
  <c r="L44" i="23193" s="1"/>
  <c r="C41" i="23193"/>
  <c r="C31" i="23193"/>
  <c r="C22" i="23193"/>
  <c r="H25" i="23193"/>
  <c r="K29" i="23193" s="1"/>
  <c r="I24" i="23193"/>
  <c r="L29" i="23193" s="1"/>
  <c r="C25" i="23193"/>
  <c r="C19" i="23193"/>
  <c r="H42" i="23193"/>
  <c r="K44" i="23193" s="1"/>
  <c r="C38" i="23193"/>
  <c r="C39" i="23193"/>
  <c r="C47" i="23193"/>
  <c r="C32" i="23193"/>
  <c r="I39" i="23193"/>
  <c r="H15" i="23193"/>
  <c r="C46" i="23193"/>
  <c r="C29" i="23193"/>
  <c r="H32" i="23193"/>
  <c r="I47" i="23193"/>
  <c r="I13" i="23193"/>
  <c r="I58" i="23193" s="1"/>
  <c r="C35" i="23193"/>
  <c r="D112" i="23198"/>
  <c r="E101" i="23198"/>
  <c r="F96" i="23198" s="1"/>
  <c r="H35" i="23193"/>
  <c r="F210" i="23198"/>
  <c r="C43" i="23193"/>
  <c r="I11" i="23195"/>
  <c r="A11" i="23195" s="1"/>
  <c r="I16" i="23193"/>
  <c r="H26" i="23193"/>
  <c r="C34" i="23193"/>
  <c r="E197" i="23198"/>
  <c r="F189" i="23198" s="1"/>
  <c r="I5" i="23195"/>
  <c r="A5" i="23195" s="1"/>
  <c r="AP95" i="23184"/>
  <c r="AO95" i="23184"/>
  <c r="P95" i="23184"/>
  <c r="AN95" i="23184"/>
  <c r="O95" i="23184"/>
  <c r="AM95" i="23184"/>
  <c r="AU95" i="23184"/>
  <c r="S95" i="23184"/>
  <c r="J95" i="23184"/>
  <c r="AB95" i="23184"/>
  <c r="F95" i="23184"/>
  <c r="R95" i="23184"/>
  <c r="U95" i="23184"/>
  <c r="AL95" i="23184"/>
  <c r="X95" i="23184"/>
  <c r="V95" i="23184"/>
  <c r="AC95" i="23184"/>
  <c r="I95" i="23184"/>
  <c r="Q95" i="23184"/>
  <c r="T95" i="23184"/>
  <c r="Y95" i="23184"/>
  <c r="AK95" i="23184"/>
  <c r="H95" i="23184"/>
  <c r="K95" i="23184"/>
  <c r="AE95" i="23184"/>
  <c r="M95" i="23184"/>
  <c r="AD95" i="23184"/>
  <c r="L95" i="23184"/>
  <c r="G95" i="23184"/>
  <c r="E95" i="23184"/>
  <c r="N95" i="23184"/>
  <c r="AJ95" i="23184"/>
  <c r="Z95" i="23184"/>
  <c r="AF95" i="23184"/>
  <c r="AS95" i="23184"/>
  <c r="AG95" i="23184"/>
  <c r="B94" i="23184"/>
  <c r="AH95" i="23184"/>
  <c r="AI95" i="23184"/>
  <c r="E54" i="23198"/>
  <c r="F49" i="23198" s="1"/>
  <c r="I6" i="23195"/>
  <c r="A6" i="23195" s="1"/>
  <c r="C15" i="23193"/>
  <c r="C30" i="23199"/>
  <c r="C197" i="23198"/>
  <c r="D195" i="23198" s="1"/>
  <c r="I21" i="23193"/>
  <c r="H28" i="23193"/>
  <c r="J4" i="23195"/>
  <c r="C6" i="23208" s="1"/>
  <c r="H22" i="23193"/>
  <c r="C13" i="23193"/>
  <c r="K19" i="23200"/>
  <c r="H19" i="23200"/>
  <c r="J19" i="23200"/>
  <c r="H12" i="23193"/>
  <c r="H58" i="23193" s="1"/>
  <c r="C40" i="23193"/>
  <c r="J9" i="23195"/>
  <c r="C11" i="23208" s="1"/>
  <c r="J12" i="23195"/>
  <c r="C14" i="23208" s="1"/>
  <c r="C4" i="23208"/>
  <c r="K5" i="23202"/>
  <c r="J15" i="23195"/>
  <c r="C17" i="23208" s="1"/>
  <c r="I7" i="23195"/>
  <c r="A7" i="23195" s="1"/>
  <c r="K5" i="23206"/>
  <c r="B12" i="23206" s="1"/>
  <c r="J5" i="23195"/>
  <c r="C7" i="23208" s="1"/>
  <c r="I8" i="23195"/>
  <c r="A8" i="23195" s="1"/>
  <c r="H6" i="23197"/>
  <c r="J6" i="39"/>
  <c r="J10" i="39" s="1"/>
  <c r="J11" i="39" s="1"/>
  <c r="J55" i="39" s="1"/>
  <c r="E9" i="23195" s="1"/>
  <c r="D11" i="23208" s="1"/>
  <c r="I4" i="23195"/>
  <c r="A4" i="23195" s="1"/>
  <c r="I13" i="23195"/>
  <c r="A13" i="23195" s="1"/>
  <c r="J8" i="23195"/>
  <c r="C10" i="23208" s="1"/>
  <c r="B24" i="23203"/>
  <c r="I38" i="23210" s="1"/>
  <c r="I39" i="23210" s="1"/>
  <c r="J11" i="23195"/>
  <c r="C13" i="23208" s="1"/>
  <c r="J13" i="23195"/>
  <c r="C15" i="23208" s="1"/>
  <c r="E23" i="23205"/>
  <c r="F23" i="23205" s="1"/>
  <c r="H23" i="23205" s="1"/>
  <c r="I23" i="23205" s="1"/>
  <c r="I52" i="23177" s="1"/>
  <c r="J52" i="23177" s="1"/>
  <c r="I9" i="23195"/>
  <c r="A9" i="23195" s="1"/>
  <c r="I12" i="23195"/>
  <c r="A12" i="23195" s="1"/>
  <c r="G6" i="23201"/>
  <c r="J10" i="23195"/>
  <c r="C12" i="23208" s="1"/>
  <c r="J14" i="23195"/>
  <c r="C16" i="23208" s="1"/>
  <c r="H6" i="23199"/>
  <c r="J6" i="23200" s="1"/>
  <c r="I15" i="23195"/>
  <c r="A15" i="23195" s="1"/>
  <c r="J6" i="23195"/>
  <c r="C8" i="23208" s="1"/>
  <c r="H19" i="23193"/>
  <c r="H27" i="23193"/>
  <c r="I31" i="23193"/>
  <c r="C42" i="23193"/>
  <c r="E67" i="23198"/>
  <c r="F66" i="23198" s="1"/>
  <c r="I6" i="23205"/>
  <c r="J3" i="23195"/>
  <c r="C5" i="23208" s="1"/>
  <c r="N81" i="23184"/>
  <c r="J81" i="23184"/>
  <c r="H81" i="23184"/>
  <c r="AH81" i="23184"/>
  <c r="AB81" i="23184"/>
  <c r="AF81" i="23184"/>
  <c r="AO81" i="23184"/>
  <c r="Y81" i="23184"/>
  <c r="K81" i="23184"/>
  <c r="I81" i="23184"/>
  <c r="AM81" i="23184"/>
  <c r="AE81" i="23184"/>
  <c r="AF49" i="23184"/>
  <c r="AJ49" i="23184"/>
  <c r="T49" i="23184"/>
  <c r="N49" i="23184"/>
  <c r="I49" i="23184"/>
  <c r="Z49" i="23184"/>
  <c r="J49" i="23184"/>
  <c r="X49" i="23184"/>
  <c r="Y49" i="23184"/>
  <c r="L49" i="23184"/>
  <c r="AA49" i="23184"/>
  <c r="AG49" i="23184"/>
  <c r="AU49" i="23184"/>
  <c r="AE49" i="23184"/>
  <c r="AS49" i="23184"/>
  <c r="K49" i="23184"/>
  <c r="AK49" i="23184"/>
  <c r="E49" i="23184"/>
  <c r="Q49" i="23184"/>
  <c r="P49" i="23184"/>
  <c r="F49" i="23184"/>
  <c r="AP49" i="23184"/>
  <c r="AD49" i="23184"/>
  <c r="V49" i="23184"/>
  <c r="G49" i="23184"/>
  <c r="AO49" i="23184"/>
  <c r="O49" i="23184"/>
  <c r="H49" i="23184"/>
  <c r="AB49" i="23184"/>
  <c r="AI49" i="23184"/>
  <c r="AH49" i="23184"/>
  <c r="R49" i="23184"/>
  <c r="AL49" i="23184"/>
  <c r="U89" i="23184"/>
  <c r="CN80" i="23183"/>
  <c r="BT80" i="23183"/>
  <c r="CW80" i="23183"/>
  <c r="BU80" i="23183"/>
  <c r="CR80" i="23183"/>
  <c r="BW80" i="23183"/>
  <c r="BO80" i="23183"/>
  <c r="BQ80" i="23183"/>
  <c r="CG80" i="23183"/>
  <c r="BY80" i="23183"/>
  <c r="CL80" i="23183"/>
  <c r="CO80" i="23183"/>
  <c r="CH80" i="23183"/>
  <c r="CM80" i="23183"/>
  <c r="CF80" i="23183"/>
  <c r="CS80" i="23183"/>
  <c r="CT80" i="23183"/>
  <c r="CB80" i="23183"/>
  <c r="CI80" i="23183"/>
  <c r="CC80" i="23183"/>
  <c r="CK80" i="23183"/>
  <c r="BR80" i="23183"/>
  <c r="CU80" i="23183"/>
  <c r="CP80" i="23183"/>
  <c r="BX80" i="23183"/>
  <c r="BZ80" i="23183"/>
  <c r="BS80" i="23183"/>
  <c r="CX80" i="23183"/>
  <c r="CE80" i="23183"/>
  <c r="BZ68" i="23183"/>
  <c r="BR68" i="23183"/>
  <c r="BV68" i="23183"/>
  <c r="CX68" i="23183"/>
  <c r="CP68" i="23183"/>
  <c r="CT68" i="23183"/>
  <c r="CA68" i="23183"/>
  <c r="BS68" i="23183"/>
  <c r="CU68" i="23183"/>
  <c r="CY68" i="23183"/>
  <c r="CQ68" i="23183"/>
  <c r="CI68" i="23183"/>
  <c r="CZ68" i="23183"/>
  <c r="CH68" i="23183"/>
  <c r="C64" i="23184"/>
  <c r="AV64" i="23184" s="1"/>
  <c r="CC68" i="23183"/>
  <c r="CV68" i="23183"/>
  <c r="CO68" i="23183"/>
  <c r="CW68" i="23183"/>
  <c r="CE68" i="23183"/>
  <c r="CK68" i="23183"/>
  <c r="BT68" i="23183"/>
  <c r="BX68" i="23183"/>
  <c r="CL68" i="23183"/>
  <c r="CR68" i="23183"/>
  <c r="CB68" i="23183"/>
  <c r="CG68" i="23183"/>
  <c r="CO56" i="23183"/>
  <c r="CS56" i="23183"/>
  <c r="CK56" i="23183"/>
  <c r="CL56" i="23183"/>
  <c r="CD56" i="23183"/>
  <c r="CH56" i="23183"/>
  <c r="CC56" i="23183"/>
  <c r="CT56" i="23183"/>
  <c r="B51" i="23200"/>
  <c r="B51" i="23201"/>
  <c r="CP56" i="23183"/>
  <c r="CI56" i="23183"/>
  <c r="BZ56" i="23183"/>
  <c r="BS56" i="23183"/>
  <c r="CU56" i="23183"/>
  <c r="CA56" i="23183"/>
  <c r="CQ56" i="23183"/>
  <c r="CW56" i="23183"/>
  <c r="CM56" i="23183"/>
  <c r="BT56" i="23183"/>
  <c r="BY56" i="23183"/>
  <c r="CB56" i="23183"/>
  <c r="CR56" i="23183"/>
  <c r="BX56" i="23183"/>
  <c r="CZ56" i="23183"/>
  <c r="CG56" i="23183"/>
  <c r="CQ44" i="23183"/>
  <c r="CU44" i="23183"/>
  <c r="CB44" i="23183"/>
  <c r="CF44" i="23183"/>
  <c r="CJ44" i="23183"/>
  <c r="CM44" i="23183"/>
  <c r="CR44" i="23183"/>
  <c r="CV44" i="23183"/>
  <c r="CN44" i="23183"/>
  <c r="CC44" i="23183"/>
  <c r="CG44" i="23183"/>
  <c r="CK44" i="23183"/>
  <c r="CD44" i="23183"/>
  <c r="BX44" i="23183"/>
  <c r="BS44" i="23183"/>
  <c r="CW44" i="23183"/>
  <c r="B39" i="23201"/>
  <c r="CE44" i="23183"/>
  <c r="CX44" i="23183"/>
  <c r="C40" i="23184"/>
  <c r="AV40" i="23184" s="1"/>
  <c r="BU44" i="23183"/>
  <c r="CZ44" i="23183"/>
  <c r="B39" i="23199"/>
  <c r="CS44" i="23183"/>
  <c r="BZ44" i="23183"/>
  <c r="CH44" i="23183"/>
  <c r="CL44" i="23183"/>
  <c r="BQ44" i="23183"/>
  <c r="CT44" i="23183"/>
  <c r="CO44" i="23183"/>
  <c r="BW44" i="23183"/>
  <c r="CQ32" i="23183"/>
  <c r="CU32" i="23183"/>
  <c r="CB32" i="23183"/>
  <c r="CF32" i="23183"/>
  <c r="CJ32" i="23183"/>
  <c r="CM32" i="23183"/>
  <c r="CR32" i="23183"/>
  <c r="CV32" i="23183"/>
  <c r="CN32" i="23183"/>
  <c r="CC32" i="23183"/>
  <c r="CG32" i="23183"/>
  <c r="CK32" i="23183"/>
  <c r="CD32" i="23183"/>
  <c r="BX32" i="23183"/>
  <c r="BS32" i="23183"/>
  <c r="CW32" i="23183"/>
  <c r="B27" i="23201"/>
  <c r="CE32" i="23183"/>
  <c r="CX32" i="23183"/>
  <c r="BU32" i="23183"/>
  <c r="CZ32" i="23183"/>
  <c r="CS32" i="23183"/>
  <c r="BZ32" i="23183"/>
  <c r="B27" i="23200"/>
  <c r="CH32" i="23183"/>
  <c r="CL32" i="23183"/>
  <c r="BQ32" i="23183"/>
  <c r="CT32" i="23183"/>
  <c r="CO32" i="23183"/>
  <c r="BW32" i="23183"/>
  <c r="O34" i="23184"/>
  <c r="AL111" i="23184"/>
  <c r="AB111" i="23184"/>
  <c r="J111" i="23184"/>
  <c r="K111" i="23184"/>
  <c r="R111" i="23184"/>
  <c r="Y111" i="23184"/>
  <c r="T111" i="23184"/>
  <c r="AH111" i="23184"/>
  <c r="B110" i="23184"/>
  <c r="AP111" i="23184"/>
  <c r="U111" i="23184"/>
  <c r="AU111" i="23184"/>
  <c r="AO111" i="23184"/>
  <c r="AP101" i="23184"/>
  <c r="J101" i="23184"/>
  <c r="AF101" i="23184"/>
  <c r="R101" i="23184"/>
  <c r="AN101" i="23184"/>
  <c r="S101" i="23184"/>
  <c r="U101" i="23184"/>
  <c r="AB101" i="23184"/>
  <c r="X101" i="23184"/>
  <c r="AM101" i="23184"/>
  <c r="AO101" i="23184"/>
  <c r="F87" i="23198"/>
  <c r="N56" i="23184"/>
  <c r="E59" i="23201"/>
  <c r="F59" i="23201"/>
  <c r="D59" i="23201" s="1"/>
  <c r="AP120" i="23184"/>
  <c r="AK120" i="23184"/>
  <c r="AB120" i="23184"/>
  <c r="K120" i="23184"/>
  <c r="M120" i="23184"/>
  <c r="R120" i="23184"/>
  <c r="T120" i="23184"/>
  <c r="AS120" i="23184"/>
  <c r="AU120" i="23184"/>
  <c r="AJ120" i="23184"/>
  <c r="U120" i="23184"/>
  <c r="P120" i="23184"/>
  <c r="AL120" i="23184"/>
  <c r="N120" i="23184"/>
  <c r="F85" i="23198"/>
  <c r="AP89" i="23184"/>
  <c r="AK89" i="23184"/>
  <c r="AJ89" i="23184"/>
  <c r="K89" i="23184"/>
  <c r="AN89" i="23184"/>
  <c r="V89" i="23184"/>
  <c r="P89" i="23184"/>
  <c r="AU89" i="23184"/>
  <c r="AG89" i="23184"/>
  <c r="N89" i="23184"/>
  <c r="R89" i="23184"/>
  <c r="T89" i="23184"/>
  <c r="D63" i="23198"/>
  <c r="AL89" i="23184"/>
  <c r="BU85" i="23183"/>
  <c r="CD85" i="23183"/>
  <c r="CV85" i="23183"/>
  <c r="CM85" i="23183"/>
  <c r="BS85" i="23183"/>
  <c r="CK85" i="23183"/>
  <c r="CY85" i="23183"/>
  <c r="CE85" i="23183"/>
  <c r="CW85" i="23183"/>
  <c r="CN85" i="23183"/>
  <c r="BT85" i="23183"/>
  <c r="BX85" i="23183"/>
  <c r="CZ85" i="23183"/>
  <c r="CF85" i="23183"/>
  <c r="CI85" i="23183"/>
  <c r="W85" i="23183"/>
  <c r="BQ85" i="23183"/>
  <c r="CG85" i="23183"/>
  <c r="BY85" i="23183"/>
  <c r="CN73" i="23183"/>
  <c r="BT73" i="23183"/>
  <c r="CW73" i="23183"/>
  <c r="CG73" i="23183"/>
  <c r="CR73" i="23183"/>
  <c r="CK73" i="23183"/>
  <c r="BQ73" i="23183"/>
  <c r="BU73" i="23183"/>
  <c r="CV73" i="23183"/>
  <c r="CL73" i="23183"/>
  <c r="CO73" i="23183"/>
  <c r="CH73" i="23183"/>
  <c r="CA73" i="23183"/>
  <c r="CF73" i="23183"/>
  <c r="V73" i="23183"/>
  <c r="CY73" i="23183"/>
  <c r="CT73" i="23183"/>
  <c r="CB73" i="23183"/>
  <c r="BW73" i="23183"/>
  <c r="CC73" i="23183"/>
  <c r="CI73" i="23183"/>
  <c r="C69" i="23184"/>
  <c r="AV69" i="23184" s="1"/>
  <c r="BP73" i="23183"/>
  <c r="BR73" i="23183"/>
  <c r="BY73" i="23183"/>
  <c r="B68" i="23199"/>
  <c r="CP73" i="23183"/>
  <c r="CJ73" i="23183"/>
  <c r="BZ73" i="23183"/>
  <c r="BS73" i="23183"/>
  <c r="CX73" i="23183"/>
  <c r="CE73" i="23183"/>
  <c r="BZ61" i="23183"/>
  <c r="BR61" i="23183"/>
  <c r="BV61" i="23183"/>
  <c r="CX61" i="23183"/>
  <c r="CP61" i="23183"/>
  <c r="CT61" i="23183"/>
  <c r="CA61" i="23183"/>
  <c r="BS61" i="23183"/>
  <c r="BW61" i="23183"/>
  <c r="CY61" i="23183"/>
  <c r="CQ61" i="23183"/>
  <c r="CU61" i="23183"/>
  <c r="CZ61" i="23183"/>
  <c r="CH61" i="23183"/>
  <c r="CC61" i="23183"/>
  <c r="CW61" i="23183"/>
  <c r="CO61" i="23183"/>
  <c r="BX61" i="23183"/>
  <c r="B56" i="23201"/>
  <c r="CE61" i="23183"/>
  <c r="CJ61" i="23183"/>
  <c r="BT61" i="23183"/>
  <c r="CK61" i="23183"/>
  <c r="CL61" i="23183"/>
  <c r="CR61" i="23183"/>
  <c r="C57" i="23184"/>
  <c r="AV57" i="23184" s="1"/>
  <c r="CB61" i="23183"/>
  <c r="CG61" i="23183"/>
  <c r="CR49" i="23183"/>
  <c r="BY49" i="23183"/>
  <c r="BQ49" i="23183"/>
  <c r="CG49" i="23183"/>
  <c r="CW49" i="23183"/>
  <c r="CC49" i="23183"/>
  <c r="CS49" i="23183"/>
  <c r="BZ49" i="23183"/>
  <c r="BR49" i="23183"/>
  <c r="CH49" i="23183"/>
  <c r="CB49" i="23183"/>
  <c r="CT49" i="23183"/>
  <c r="CZ49" i="23183"/>
  <c r="C45" i="23184"/>
  <c r="AV45" i="23184" s="1"/>
  <c r="CU49" i="23183"/>
  <c r="B44" i="23200"/>
  <c r="CO49" i="23183"/>
  <c r="BX49" i="23183"/>
  <c r="CP49" i="23183"/>
  <c r="CV49" i="23183"/>
  <c r="B44" i="23201"/>
  <c r="CE49" i="23183"/>
  <c r="CK49" i="23183"/>
  <c r="BT49" i="23183"/>
  <c r="CM49" i="23183"/>
  <c r="CF49" i="23183"/>
  <c r="CN49" i="23183"/>
  <c r="BU49" i="23183"/>
  <c r="CX49" i="23183"/>
  <c r="CR37" i="23183"/>
  <c r="CV37" i="23183"/>
  <c r="CY37" i="23183"/>
  <c r="CC37" i="23183"/>
  <c r="CG37" i="23183"/>
  <c r="CK37" i="23183"/>
  <c r="CD37" i="23183"/>
  <c r="BW37" i="23183"/>
  <c r="CN37" i="23183"/>
  <c r="BS37" i="23183"/>
  <c r="CU37" i="23183"/>
  <c r="CZ37" i="23183"/>
  <c r="CE37" i="23183"/>
  <c r="BX37" i="23183"/>
  <c r="C33" i="23184"/>
  <c r="AV33" i="23184" s="1"/>
  <c r="BT37" i="23183"/>
  <c r="BY37" i="23183"/>
  <c r="B32" i="23200"/>
  <c r="CF37" i="23183"/>
  <c r="CW37" i="23183"/>
  <c r="R37" i="23183"/>
  <c r="CS37" i="23183"/>
  <c r="CA37" i="23183"/>
  <c r="CO37" i="23183"/>
  <c r="CH37" i="23183"/>
  <c r="CL37" i="23183"/>
  <c r="CD25" i="23183"/>
  <c r="CU25" i="23183"/>
  <c r="CQ25" i="23183"/>
  <c r="BY25" i="23183"/>
  <c r="CF25" i="23183"/>
  <c r="CW25" i="23183"/>
  <c r="BU25" i="23183"/>
  <c r="BZ25" i="23183"/>
  <c r="BQ25" i="23183"/>
  <c r="CH25" i="23183"/>
  <c r="CL25" i="23183"/>
  <c r="CO25" i="23183"/>
  <c r="BW25" i="23183"/>
  <c r="CM25" i="23183"/>
  <c r="BS25" i="23183"/>
  <c r="CE25" i="23183"/>
  <c r="BT25" i="23183"/>
  <c r="CG25" i="23183"/>
  <c r="BX25" i="23183"/>
  <c r="CJ25" i="23183"/>
  <c r="C21" i="23184"/>
  <c r="CK25" i="23183"/>
  <c r="B20" i="23199"/>
  <c r="E20" i="23199" s="1"/>
  <c r="BI25" i="23183"/>
  <c r="CB25" i="23183"/>
  <c r="BR25" i="23183"/>
  <c r="CN25" i="23183"/>
  <c r="AS21" i="23183"/>
  <c r="AE56" i="23184"/>
  <c r="CB19" i="23183"/>
  <c r="AS104" i="23184"/>
  <c r="AL112" i="23184"/>
  <c r="AN112" i="23184"/>
  <c r="AL97" i="23184"/>
  <c r="AS97" i="23184"/>
  <c r="AU112" i="23184"/>
  <c r="T97" i="23184"/>
  <c r="AS113" i="23184"/>
  <c r="J113" i="23184"/>
  <c r="M103" i="23184"/>
  <c r="AN87" i="23184"/>
  <c r="T104" i="23184"/>
  <c r="AK113" i="23184"/>
  <c r="R97" i="23184"/>
  <c r="T112" i="23184"/>
  <c r="AL106" i="23184"/>
  <c r="N103" i="23184"/>
  <c r="CL87" i="23183"/>
  <c r="BZ87" i="23183"/>
  <c r="CD87" i="23183"/>
  <c r="BX87" i="23183"/>
  <c r="CY87" i="23183"/>
  <c r="CQ87" i="23183"/>
  <c r="CJ87" i="23183"/>
  <c r="CN87" i="23183"/>
  <c r="CF87" i="23183"/>
  <c r="CV87" i="23183"/>
  <c r="CZ87" i="23183"/>
  <c r="CR87" i="23183"/>
  <c r="CW87" i="23183"/>
  <c r="BQ87" i="23183"/>
  <c r="CS87" i="23183"/>
  <c r="CC87" i="23183"/>
  <c r="BV87" i="23183"/>
  <c r="CZ75" i="23183"/>
  <c r="CF75" i="23183"/>
  <c r="CK75" i="23183"/>
  <c r="BQ75" i="23183"/>
  <c r="CS75" i="23183"/>
  <c r="CW75" i="23183"/>
  <c r="BZ75" i="23183"/>
  <c r="CC75" i="23183"/>
  <c r="BV75" i="23183"/>
  <c r="CX75" i="23183"/>
  <c r="BR75" i="23183"/>
  <c r="CT75" i="23183"/>
  <c r="CH51" i="23183"/>
  <c r="CZ51" i="23183"/>
  <c r="CW51" i="23183"/>
  <c r="CC51" i="23183"/>
  <c r="CI51" i="23183"/>
  <c r="CP51" i="23183"/>
  <c r="BR51" i="23183"/>
  <c r="BX51" i="23183"/>
  <c r="CQ51" i="23183"/>
  <c r="BS51" i="23183"/>
  <c r="BY51" i="23183"/>
  <c r="CS51" i="23183"/>
  <c r="CQ39" i="23183"/>
  <c r="CU39" i="23183"/>
  <c r="CZ39" i="23183"/>
  <c r="CF39" i="23183"/>
  <c r="CJ39" i="23183"/>
  <c r="CA39" i="23183"/>
  <c r="CR39" i="23183"/>
  <c r="CV39" i="23183"/>
  <c r="CB39" i="23183"/>
  <c r="CC39" i="23183"/>
  <c r="CG39" i="23183"/>
  <c r="CK39" i="23183"/>
  <c r="CE27" i="23183"/>
  <c r="CJ27" i="23183"/>
  <c r="BT27" i="23183"/>
  <c r="BV27" i="23183"/>
  <c r="CF27" i="23183"/>
  <c r="CH27" i="23183"/>
  <c r="BQ27" i="23183"/>
  <c r="BZ27" i="23183"/>
  <c r="CB27" i="23183"/>
  <c r="AI106" i="23184"/>
  <c r="AH87" i="23184"/>
  <c r="AC116" i="23184"/>
  <c r="AH104" i="23184"/>
  <c r="CV19" i="23183"/>
  <c r="CM19" i="23183"/>
  <c r="R104" i="23184"/>
  <c r="AO103" i="23184"/>
  <c r="U87" i="23184"/>
  <c r="AM113" i="23184"/>
  <c r="AK106" i="23184"/>
  <c r="L97" i="23184"/>
  <c r="AO97" i="23184"/>
  <c r="U112" i="23184"/>
  <c r="O116" i="23184"/>
  <c r="BZ86" i="23183"/>
  <c r="CC86" i="23183"/>
  <c r="BV86" i="23183"/>
  <c r="CX86" i="23183"/>
  <c r="BR86" i="23183"/>
  <c r="CT86" i="23183"/>
  <c r="CS86" i="23183"/>
  <c r="CD86" i="23183"/>
  <c r="BW86" i="23183"/>
  <c r="CM86" i="23183"/>
  <c r="BS86" i="23183"/>
  <c r="BY86" i="23183"/>
  <c r="CN74" i="23183"/>
  <c r="CF74" i="23183"/>
  <c r="CW74" i="23183"/>
  <c r="BQ74" i="23183"/>
  <c r="CS74" i="23183"/>
  <c r="CJ74" i="23183"/>
  <c r="CC74" i="23183"/>
  <c r="BU74" i="23183"/>
  <c r="BX74" i="23183"/>
  <c r="CL74" i="23183"/>
  <c r="BR74" i="23183"/>
  <c r="CH74" i="23183"/>
  <c r="CN62" i="23183"/>
  <c r="CF62" i="23183"/>
  <c r="CK62" i="23183"/>
  <c r="CO62" i="23183"/>
  <c r="CS62" i="23183"/>
  <c r="BX62" i="23183"/>
  <c r="CL62" i="23183"/>
  <c r="CD62" i="23183"/>
  <c r="CH62" i="23183"/>
  <c r="CX62" i="23183"/>
  <c r="CP62" i="23183"/>
  <c r="CT62" i="23183"/>
  <c r="CM62" i="23183"/>
  <c r="CE62" i="23183"/>
  <c r="CI62" i="23183"/>
  <c r="CY62" i="23183"/>
  <c r="CQ62" i="23183"/>
  <c r="CU62" i="23183"/>
  <c r="CR38" i="23183"/>
  <c r="CV38" i="23183"/>
  <c r="CZ38" i="23183"/>
  <c r="CC38" i="23183"/>
  <c r="CG38" i="23183"/>
  <c r="CK38" i="23183"/>
  <c r="CO38" i="23183"/>
  <c r="CS38" i="23183"/>
  <c r="CW38" i="23183"/>
  <c r="CD38" i="23183"/>
  <c r="CH38" i="23183"/>
  <c r="CA38" i="23183"/>
  <c r="CE26" i="23183"/>
  <c r="CJ26" i="23183"/>
  <c r="BU26" i="23183"/>
  <c r="CW26" i="23183"/>
  <c r="CC26" i="23183"/>
  <c r="BV26" i="23183"/>
  <c r="CA26" i="23183"/>
  <c r="CO26" i="23183"/>
  <c r="CH26" i="23183"/>
  <c r="CB26" i="23183"/>
  <c r="CD26" i="23183"/>
  <c r="CI26" i="23183"/>
  <c r="CM26" i="23183"/>
  <c r="CP26" i="23183"/>
  <c r="CU26" i="23183"/>
  <c r="CN26" i="23183"/>
  <c r="BX19" i="23183"/>
  <c r="CW19" i="23183"/>
  <c r="C15" i="23184"/>
  <c r="B14" i="23199"/>
  <c r="E14" i="23199" s="1"/>
  <c r="U103" i="23184"/>
  <c r="U116" i="23184"/>
  <c r="AS106" i="23184"/>
  <c r="L87" i="23184"/>
  <c r="T106" i="23184"/>
  <c r="AO104" i="23184"/>
  <c r="S87" i="23184"/>
  <c r="AO106" i="23184"/>
  <c r="AU113" i="23184"/>
  <c r="R112" i="23184"/>
  <c r="AK103" i="23184"/>
  <c r="B14" i="23200"/>
  <c r="AK112" i="23184"/>
  <c r="T103" i="23184"/>
  <c r="L113" i="23184"/>
  <c r="T116" i="23184"/>
  <c r="AM104" i="23184"/>
  <c r="S106" i="23184"/>
  <c r="AO116" i="23184"/>
  <c r="R87" i="23184"/>
  <c r="O87" i="23184"/>
  <c r="AS87" i="23184"/>
  <c r="AN106" i="23184"/>
  <c r="AL87" i="23184"/>
  <c r="AM106" i="23184"/>
  <c r="BZ83" i="23183"/>
  <c r="BV83" i="23183"/>
  <c r="BU83" i="23183"/>
  <c r="BX83" i="23183"/>
  <c r="CA83" i="23183"/>
  <c r="BW83" i="23183"/>
  <c r="BQ83" i="23183"/>
  <c r="CV83" i="23183"/>
  <c r="CR71" i="23183"/>
  <c r="BV71" i="23183"/>
  <c r="CT71" i="23183"/>
  <c r="CX71" i="23183"/>
  <c r="BW71" i="23183"/>
  <c r="BR59" i="23183"/>
  <c r="BS59" i="23183"/>
  <c r="CE59" i="23183"/>
  <c r="CS59" i="23183"/>
  <c r="CC47" i="23183"/>
  <c r="CJ47" i="23183"/>
  <c r="BR47" i="23183"/>
  <c r="BY47" i="23183"/>
  <c r="CD47" i="23183"/>
  <c r="CK47" i="23183"/>
  <c r="CR47" i="23183"/>
  <c r="CL47" i="23183"/>
  <c r="CR35" i="23183"/>
  <c r="BV35" i="23183"/>
  <c r="CH35" i="23183"/>
  <c r="BW35" i="23183"/>
  <c r="CC23" i="23183"/>
  <c r="CL23" i="23183"/>
  <c r="CD23" i="23183"/>
  <c r="CP23" i="23183"/>
  <c r="CE23" i="23183"/>
  <c r="AP97" i="23184"/>
  <c r="Q87" i="23184"/>
  <c r="AD87" i="23184"/>
  <c r="N116" i="23184"/>
  <c r="AF116" i="23184"/>
  <c r="BY19" i="23183"/>
  <c r="R103" i="23184"/>
  <c r="S116" i="23184"/>
  <c r="AM112" i="23184"/>
  <c r="AU97" i="23184"/>
  <c r="M106" i="23184"/>
  <c r="AU103" i="23184"/>
  <c r="U113" i="23184"/>
  <c r="AS103" i="23184"/>
  <c r="M116" i="23184"/>
  <c r="O62" i="23204"/>
  <c r="O64" i="23204" s="1"/>
  <c r="O65" i="23204" s="1"/>
  <c r="H46" i="23204"/>
  <c r="Z13" i="23208"/>
  <c r="I59" i="23209"/>
  <c r="S59" i="23209" s="1"/>
  <c r="M62" i="23209"/>
  <c r="O48" i="23209"/>
  <c r="U62" i="23209"/>
  <c r="AD48" i="23209"/>
  <c r="W62" i="23209"/>
  <c r="Z11" i="23208"/>
  <c r="AL48" i="23209"/>
  <c r="O62" i="23209"/>
  <c r="I212" i="23210"/>
  <c r="AU25" i="23183"/>
  <c r="J5" i="39"/>
  <c r="H3" i="23197"/>
  <c r="F5" i="23198"/>
  <c r="G5" i="23201"/>
  <c r="F3" i="23198"/>
  <c r="K4" i="23202"/>
  <c r="I57" i="23193"/>
  <c r="L57" i="23193" s="1"/>
  <c r="F72" i="23198"/>
  <c r="H5" i="23199"/>
  <c r="J5" i="23200" s="1"/>
  <c r="F133" i="23198"/>
  <c r="F135" i="23198"/>
  <c r="AS22" i="23183"/>
  <c r="AY22" i="23183" s="1"/>
  <c r="H54" i="23193"/>
  <c r="C26" i="23198"/>
  <c r="F73" i="23198"/>
  <c r="F112" i="23198"/>
  <c r="G3" i="23201"/>
  <c r="K4" i="23206"/>
  <c r="F132" i="23198"/>
  <c r="F119" i="23198"/>
  <c r="H5" i="23197"/>
  <c r="I5" i="23205"/>
  <c r="F122" i="23198"/>
  <c r="F204" i="23198"/>
  <c r="F207" i="23198"/>
  <c r="D50" i="23198"/>
  <c r="F136" i="23198"/>
  <c r="F108" i="23198"/>
  <c r="F124" i="23198"/>
  <c r="F208" i="23198"/>
  <c r="F83" i="23198"/>
  <c r="F86" i="23198"/>
  <c r="F251" i="23198"/>
  <c r="F254" i="23198"/>
  <c r="D58" i="23201"/>
  <c r="C181" i="23198"/>
  <c r="D170" i="23198" s="1"/>
  <c r="D61" i="23199"/>
  <c r="C61" i="23199"/>
  <c r="E61" i="23199"/>
  <c r="F61" i="23199"/>
  <c r="H61" i="23199"/>
  <c r="F55" i="23199"/>
  <c r="G55" i="23199"/>
  <c r="H55" i="23199"/>
  <c r="C55" i="23199"/>
  <c r="S22" i="23184"/>
  <c r="F22" i="23184"/>
  <c r="N22" i="23184"/>
  <c r="R22" i="23184"/>
  <c r="B21" i="23184"/>
  <c r="I58" i="23200"/>
  <c r="L58" i="23200"/>
  <c r="J58" i="23200"/>
  <c r="M58" i="23200"/>
  <c r="D58" i="23200"/>
  <c r="N58" i="23200"/>
  <c r="C58" i="23200"/>
  <c r="E58" i="23200"/>
  <c r="O58" i="23200"/>
  <c r="F58" i="23200"/>
  <c r="K58" i="23200"/>
  <c r="G58" i="23200"/>
  <c r="H58" i="23200"/>
  <c r="H35" i="23199"/>
  <c r="D35" i="23199"/>
  <c r="C35" i="23199"/>
  <c r="E35" i="23199"/>
  <c r="F35" i="23199"/>
  <c r="O53" i="23200"/>
  <c r="K53" i="23200"/>
  <c r="L53" i="23200"/>
  <c r="H53" i="23200"/>
  <c r="I53" i="23200"/>
  <c r="J53" i="23200"/>
  <c r="D53" i="23200"/>
  <c r="C53" i="23200"/>
  <c r="E53" i="23200"/>
  <c r="F53" i="23200"/>
  <c r="G53" i="23200"/>
  <c r="N53" i="23200"/>
  <c r="D42" i="23199"/>
  <c r="C42" i="23199"/>
  <c r="E42" i="23199"/>
  <c r="F42" i="23199"/>
  <c r="G42" i="23199"/>
  <c r="H42" i="23199"/>
  <c r="P42" i="23184"/>
  <c r="O42" i="23184"/>
  <c r="AI42" i="23184"/>
  <c r="B41" i="23184"/>
  <c r="J42" i="23184"/>
  <c r="AB42" i="23184"/>
  <c r="H42" i="23184"/>
  <c r="AE42" i="23184"/>
  <c r="AA42" i="23184"/>
  <c r="M42" i="23184"/>
  <c r="T42" i="23184"/>
  <c r="Y42" i="23184"/>
  <c r="V42" i="23184"/>
  <c r="AJ42" i="23184"/>
  <c r="G42" i="23184"/>
  <c r="S85" i="23184"/>
  <c r="AD85" i="23184"/>
  <c r="Q85" i="23184"/>
  <c r="T85" i="23184"/>
  <c r="AE85" i="23184"/>
  <c r="V85" i="23184"/>
  <c r="H85" i="23184"/>
  <c r="U85" i="23184"/>
  <c r="AF85" i="23184"/>
  <c r="J85" i="23184"/>
  <c r="B84" i="23184"/>
  <c r="AN85" i="23184"/>
  <c r="AO85" i="23184"/>
  <c r="AG85" i="23184"/>
  <c r="K85" i="23184"/>
  <c r="AS85" i="23184"/>
  <c r="AH85" i="23184"/>
  <c r="O85" i="23184"/>
  <c r="AL85" i="23184"/>
  <c r="Y85" i="23184"/>
  <c r="AP85" i="23184"/>
  <c r="AA85" i="23184"/>
  <c r="F85" i="23184"/>
  <c r="N85" i="23184"/>
  <c r="AC85" i="23184"/>
  <c r="I85" i="23184"/>
  <c r="AI85" i="23184"/>
  <c r="G85" i="23184"/>
  <c r="E85" i="23184"/>
  <c r="AM85" i="23184"/>
  <c r="AB85" i="23184"/>
  <c r="P85" i="23184"/>
  <c r="Z85" i="23184"/>
  <c r="AK85" i="23184"/>
  <c r="X85" i="23184"/>
  <c r="AU85" i="23184"/>
  <c r="AJ85" i="23184"/>
  <c r="L85" i="23184"/>
  <c r="M85" i="23184"/>
  <c r="R85" i="23184"/>
  <c r="CA81" i="23183"/>
  <c r="CP81" i="23183"/>
  <c r="CW81" i="23183"/>
  <c r="CM81" i="23183"/>
  <c r="BS81" i="23183"/>
  <c r="BY81" i="23183"/>
  <c r="CY81" i="23183"/>
  <c r="CE81" i="23183"/>
  <c r="BW81" i="23183"/>
  <c r="CB81" i="23183"/>
  <c r="CQ81" i="23183"/>
  <c r="BX81" i="23183"/>
  <c r="CN81" i="23183"/>
  <c r="BV81" i="23183"/>
  <c r="CZ81" i="23183"/>
  <c r="CH81" i="23183"/>
  <c r="BU81" i="23183"/>
  <c r="CT81" i="23183"/>
  <c r="BQ81" i="23183"/>
  <c r="CV81" i="23183"/>
  <c r="CC81" i="23183"/>
  <c r="CU81" i="23183"/>
  <c r="CO81" i="23183"/>
  <c r="CI81" i="23183"/>
  <c r="BO81" i="23183"/>
  <c r="CD81" i="23183"/>
  <c r="CK81" i="23183"/>
  <c r="CL81" i="23183"/>
  <c r="CF81" i="23183"/>
  <c r="CM69" i="23183"/>
  <c r="BS69" i="23183"/>
  <c r="BW69" i="23183"/>
  <c r="CY69" i="23183"/>
  <c r="CE69" i="23183"/>
  <c r="CI69" i="23183"/>
  <c r="CB69" i="23183"/>
  <c r="CQ69" i="23183"/>
  <c r="BX69" i="23183"/>
  <c r="CN69" i="23183"/>
  <c r="BT69" i="23183"/>
  <c r="BY69" i="23183"/>
  <c r="CZ69" i="23183"/>
  <c r="BV69" i="23183"/>
  <c r="CS69" i="23183"/>
  <c r="CH69" i="23183"/>
  <c r="C65" i="23184"/>
  <c r="AV65" i="23184" s="1"/>
  <c r="BQ69" i="23183"/>
  <c r="CT69" i="23183"/>
  <c r="CC69" i="23183"/>
  <c r="CU69" i="23183"/>
  <c r="CO69" i="23183"/>
  <c r="CW69" i="23183"/>
  <c r="B64" i="23201"/>
  <c r="BR69" i="23183"/>
  <c r="CJ69" i="23183"/>
  <c r="CP69" i="23183"/>
  <c r="CV69" i="23183"/>
  <c r="B64" i="23199"/>
  <c r="CL69" i="23183"/>
  <c r="CR69" i="23183"/>
  <c r="CM57" i="23183"/>
  <c r="CE57" i="23183"/>
  <c r="CI57" i="23183"/>
  <c r="CY57" i="23183"/>
  <c r="CQ57" i="23183"/>
  <c r="CU57" i="23183"/>
  <c r="CN57" i="23183"/>
  <c r="CF57" i="23183"/>
  <c r="CB57" i="23183"/>
  <c r="CG57" i="23183"/>
  <c r="B52" i="23199"/>
  <c r="CZ57" i="23183"/>
  <c r="CS57" i="23183"/>
  <c r="B52" i="23200"/>
  <c r="BQ57" i="23183"/>
  <c r="BV57" i="23183"/>
  <c r="CC57" i="23183"/>
  <c r="CH57" i="23183"/>
  <c r="C53" i="23184"/>
  <c r="AV53" i="23184" s="1"/>
  <c r="CO57" i="23183"/>
  <c r="CT57" i="23183"/>
  <c r="BR57" i="23183"/>
  <c r="BW57" i="23183"/>
  <c r="CP57" i="23183"/>
  <c r="BY57" i="23183"/>
  <c r="CL57" i="23183"/>
  <c r="BT57" i="23183"/>
  <c r="CK57" i="23183"/>
  <c r="B52" i="23201"/>
  <c r="CD45" i="23183"/>
  <c r="CH45" i="23183"/>
  <c r="CA45" i="23183"/>
  <c r="CP45" i="23183"/>
  <c r="CT45" i="23183"/>
  <c r="CB45" i="23183"/>
  <c r="BQ45" i="23183"/>
  <c r="CS45" i="23183"/>
  <c r="CL45" i="23183"/>
  <c r="BD45" i="23183"/>
  <c r="CC45" i="23183"/>
  <c r="BV45" i="23183"/>
  <c r="CM45" i="23183"/>
  <c r="B40" i="23201"/>
  <c r="CO45" i="23183"/>
  <c r="BW45" i="23183"/>
  <c r="CN45" i="23183"/>
  <c r="B40" i="23199"/>
  <c r="BR45" i="23183"/>
  <c r="CI45" i="23183"/>
  <c r="CX45" i="23183"/>
  <c r="B40" i="23200"/>
  <c r="BS45" i="23183"/>
  <c r="CU45" i="23183"/>
  <c r="CZ45" i="23183"/>
  <c r="CE45" i="23183"/>
  <c r="BX45" i="23183"/>
  <c r="CY45" i="23183"/>
  <c r="BT45" i="23183"/>
  <c r="CV45" i="23183"/>
  <c r="CR45" i="23183"/>
  <c r="CK45" i="23183"/>
  <c r="CD33" i="23183"/>
  <c r="CP33" i="23183"/>
  <c r="CQ33" i="23183"/>
  <c r="CU33" i="23183"/>
  <c r="CN33" i="23183"/>
  <c r="BT33" i="23183"/>
  <c r="BX33" i="23183"/>
  <c r="CX33" i="23183"/>
  <c r="CF33" i="23183"/>
  <c r="CJ33" i="23183"/>
  <c r="CY33" i="23183"/>
  <c r="CR33" i="23183"/>
  <c r="CV33" i="23183"/>
  <c r="CZ33" i="23183"/>
  <c r="BU33" i="23183"/>
  <c r="BY33" i="23183"/>
  <c r="B28" i="23199"/>
  <c r="CG33" i="23183"/>
  <c r="CK33" i="23183"/>
  <c r="CC33" i="23183"/>
  <c r="BV33" i="23183"/>
  <c r="BZ33" i="23183"/>
  <c r="C29" i="23184"/>
  <c r="AV29" i="23184" s="1"/>
  <c r="BR33" i="23183"/>
  <c r="CT33" i="23183"/>
  <c r="CB33" i="23183"/>
  <c r="CG22" i="23183"/>
  <c r="CN22" i="23183"/>
  <c r="BT22" i="23183"/>
  <c r="CJ22" i="23183"/>
  <c r="BU22" i="23183"/>
  <c r="CB22" i="23183"/>
  <c r="B17" i="23199"/>
  <c r="CQ22" i="23183"/>
  <c r="CK22" i="23183"/>
  <c r="BX22" i="23183"/>
  <c r="B17" i="23200"/>
  <c r="CE22" i="23183"/>
  <c r="BY22" i="23183"/>
  <c r="BS22" i="23183"/>
  <c r="CI22" i="23183"/>
  <c r="BQ22" i="23183"/>
  <c r="CW22" i="23183"/>
  <c r="CF22" i="23183"/>
  <c r="CD22" i="23183"/>
  <c r="CA22" i="23183"/>
  <c r="Z62" i="23184"/>
  <c r="Y43" i="23184"/>
  <c r="B42" i="23184"/>
  <c r="Z43" i="23184"/>
  <c r="V43" i="23184"/>
  <c r="J43" i="23184"/>
  <c r="X43" i="23184"/>
  <c r="H43" i="23184"/>
  <c r="AC43" i="23184"/>
  <c r="P43" i="23184"/>
  <c r="CG79" i="23183"/>
  <c r="CD79" i="23183"/>
  <c r="CI79" i="23183"/>
  <c r="BF79" i="23183"/>
  <c r="CA79" i="23183"/>
  <c r="CP79" i="23183"/>
  <c r="BW79" i="23183"/>
  <c r="CM79" i="23183"/>
  <c r="BS79" i="23183"/>
  <c r="BX79" i="23183"/>
  <c r="CY79" i="23183"/>
  <c r="CE79" i="23183"/>
  <c r="BY79" i="23183"/>
  <c r="CS79" i="23183"/>
  <c r="CQ79" i="23183"/>
  <c r="CV79" i="23183"/>
  <c r="CZ79" i="23183"/>
  <c r="CR79" i="23183"/>
  <c r="CU79" i="23183"/>
  <c r="BZ79" i="23183"/>
  <c r="CC79" i="23183"/>
  <c r="BV79" i="23183"/>
  <c r="CN67" i="23183"/>
  <c r="CF67" i="23183"/>
  <c r="BY67" i="23183"/>
  <c r="C63" i="23184"/>
  <c r="AV63" i="23184" s="1"/>
  <c r="CZ67" i="23183"/>
  <c r="CR67" i="23183"/>
  <c r="CJ67" i="23183"/>
  <c r="BQ67" i="23183"/>
  <c r="BU67" i="23183"/>
  <c r="CK67" i="23183"/>
  <c r="B62" i="23200"/>
  <c r="BF67" i="23183"/>
  <c r="CC67" i="23183"/>
  <c r="CG67" i="23183"/>
  <c r="CV67" i="23183"/>
  <c r="B62" i="23199"/>
  <c r="CO67" i="23183"/>
  <c r="CS67" i="23183"/>
  <c r="CW67" i="23183"/>
  <c r="BZ67" i="23183"/>
  <c r="BR67" i="23183"/>
  <c r="BV67" i="23183"/>
  <c r="CX67" i="23183"/>
  <c r="CP67" i="23183"/>
  <c r="CT67" i="23183"/>
  <c r="BE67" i="23183"/>
  <c r="CM67" i="23183"/>
  <c r="CE67" i="23183"/>
  <c r="CI67" i="23183"/>
  <c r="CN55" i="23183"/>
  <c r="CF55" i="23183"/>
  <c r="BY55" i="23183"/>
  <c r="CZ55" i="23183"/>
  <c r="CR55" i="23183"/>
  <c r="CJ55" i="23183"/>
  <c r="BQ55" i="23183"/>
  <c r="BU55" i="23183"/>
  <c r="CK55" i="23183"/>
  <c r="CC55" i="23183"/>
  <c r="CG55" i="23183"/>
  <c r="CV55" i="23183"/>
  <c r="CO55" i="23183"/>
  <c r="CS55" i="23183"/>
  <c r="CW55" i="23183"/>
  <c r="C51" i="23184"/>
  <c r="AV51" i="23184" s="1"/>
  <c r="BZ55" i="23183"/>
  <c r="BR55" i="23183"/>
  <c r="BV55" i="23183"/>
  <c r="CX55" i="23183"/>
  <c r="CP55" i="23183"/>
  <c r="CT55" i="23183"/>
  <c r="B50" i="23199"/>
  <c r="CM55" i="23183"/>
  <c r="CE55" i="23183"/>
  <c r="CI55" i="23183"/>
  <c r="BH55" i="23183"/>
  <c r="CE43" i="23183"/>
  <c r="CI43" i="23183"/>
  <c r="CY43" i="23183"/>
  <c r="B38" i="23199"/>
  <c r="CQ43" i="23183"/>
  <c r="CU43" i="23183"/>
  <c r="CZ43" i="23183"/>
  <c r="BT43" i="23183"/>
  <c r="BX43" i="23183"/>
  <c r="BZ43" i="23183"/>
  <c r="CF43" i="23183"/>
  <c r="CJ43" i="23183"/>
  <c r="CA43" i="23183"/>
  <c r="CR43" i="23183"/>
  <c r="CV43" i="23183"/>
  <c r="CB43" i="23183"/>
  <c r="BQ43" i="23183"/>
  <c r="BU43" i="23183"/>
  <c r="BY43" i="23183"/>
  <c r="CO43" i="23183"/>
  <c r="CS43" i="23183"/>
  <c r="CW43" i="23183"/>
  <c r="C39" i="23184"/>
  <c r="AV39" i="23184" s="1"/>
  <c r="CD43" i="23183"/>
  <c r="CH43" i="23183"/>
  <c r="CM43" i="23183"/>
  <c r="CE31" i="23183"/>
  <c r="CI31" i="23183"/>
  <c r="CY31" i="23183"/>
  <c r="C27" i="23184"/>
  <c r="AV27" i="23184" s="1"/>
  <c r="CQ31" i="23183"/>
  <c r="CU31" i="23183"/>
  <c r="CZ31" i="23183"/>
  <c r="B26" i="23201"/>
  <c r="BT31" i="23183"/>
  <c r="BX31" i="23183"/>
  <c r="BZ31" i="23183"/>
  <c r="CF31" i="23183"/>
  <c r="CJ31" i="23183"/>
  <c r="CB31" i="23183"/>
  <c r="CR31" i="23183"/>
  <c r="CV31" i="23183"/>
  <c r="CA31" i="23183"/>
  <c r="B26" i="23200"/>
  <c r="BQ31" i="23183"/>
  <c r="BU31" i="23183"/>
  <c r="BY31" i="23183"/>
  <c r="CO31" i="23183"/>
  <c r="CS31" i="23183"/>
  <c r="CW31" i="23183"/>
  <c r="CD31" i="23183"/>
  <c r="CH31" i="23183"/>
  <c r="CM31" i="23183"/>
  <c r="Q45" i="23184"/>
  <c r="C245" i="23198"/>
  <c r="D241" i="23198" s="1"/>
  <c r="C265" i="23198"/>
  <c r="D260" i="23198" s="1"/>
  <c r="C280" i="23198"/>
  <c r="D271" i="23198" s="1"/>
  <c r="CT31" i="23183"/>
  <c r="CT43" i="23183"/>
  <c r="CQ55" i="23183"/>
  <c r="CQ67" i="23183"/>
  <c r="O43" i="23184"/>
  <c r="CO79" i="23183"/>
  <c r="BV31" i="23183"/>
  <c r="BV43" i="23183"/>
  <c r="BS55" i="23183"/>
  <c r="BS67" i="23183"/>
  <c r="B38" i="23200"/>
  <c r="BQ79" i="23183"/>
  <c r="CG31" i="23183"/>
  <c r="CG43" i="23183"/>
  <c r="CD55" i="23183"/>
  <c r="CD67" i="23183"/>
  <c r="L43" i="23184"/>
  <c r="AH71" i="23184"/>
  <c r="CN79" i="23183"/>
  <c r="BS31" i="23183"/>
  <c r="BS43" i="23183"/>
  <c r="CB55" i="23183"/>
  <c r="CB67" i="23183"/>
  <c r="CW79" i="23183"/>
  <c r="CB79" i="23183"/>
  <c r="CP31" i="23183"/>
  <c r="CP43" i="23183"/>
  <c r="CY55" i="23183"/>
  <c r="CY67" i="23183"/>
  <c r="CK79" i="23183"/>
  <c r="CX79" i="23183"/>
  <c r="BR31" i="23183"/>
  <c r="BR43" i="23183"/>
  <c r="CA55" i="23183"/>
  <c r="CA67" i="23183"/>
  <c r="CX81" i="23183"/>
  <c r="AD43" i="23184"/>
  <c r="CJ79" i="23183"/>
  <c r="CL79" i="23183"/>
  <c r="CC31" i="23183"/>
  <c r="CC43" i="23183"/>
  <c r="CL55" i="23183"/>
  <c r="CL67" i="23183"/>
  <c r="CF69" i="23183"/>
  <c r="BZ81" i="23183"/>
  <c r="CX31" i="23183"/>
  <c r="CX43" i="23183"/>
  <c r="BX55" i="23183"/>
  <c r="BX67" i="23183"/>
  <c r="CY82" i="23183"/>
  <c r="BS82" i="23183"/>
  <c r="CW82" i="23183"/>
  <c r="CG82" i="23183"/>
  <c r="CE82" i="23183"/>
  <c r="BY82" i="23183"/>
  <c r="CB82" i="23183"/>
  <c r="CQ82" i="23183"/>
  <c r="CI82" i="23183"/>
  <c r="CN82" i="23183"/>
  <c r="BT82" i="23183"/>
  <c r="CV82" i="23183"/>
  <c r="CZ82" i="23183"/>
  <c r="CH82" i="23183"/>
  <c r="C78" i="23184"/>
  <c r="AV78" i="23184" s="1"/>
  <c r="CS82" i="23183"/>
  <c r="CT82" i="23183"/>
  <c r="BQ82" i="23183"/>
  <c r="BX82" i="23183"/>
  <c r="CC82" i="23183"/>
  <c r="BW82" i="23183"/>
  <c r="CO82" i="23183"/>
  <c r="CJ82" i="23183"/>
  <c r="BR82" i="23183"/>
  <c r="CU82" i="23183"/>
  <c r="BZ82" i="23183"/>
  <c r="CP82" i="23183"/>
  <c r="CX82" i="23183"/>
  <c r="CR82" i="23183"/>
  <c r="CY70" i="23183"/>
  <c r="CE70" i="23183"/>
  <c r="CV70" i="23183"/>
  <c r="CG70" i="23183"/>
  <c r="CQ70" i="23183"/>
  <c r="CW70" i="23183"/>
  <c r="CB70" i="23183"/>
  <c r="BT70" i="23183"/>
  <c r="BY70" i="23183"/>
  <c r="CN70" i="23183"/>
  <c r="CF70" i="23183"/>
  <c r="CK70" i="23183"/>
  <c r="CZ70" i="23183"/>
  <c r="CR70" i="23183"/>
  <c r="CJ70" i="23183"/>
  <c r="CL70" i="23183"/>
  <c r="CO70" i="23183"/>
  <c r="CH70" i="23183"/>
  <c r="BQ70" i="23183"/>
  <c r="BX70" i="23183"/>
  <c r="B65" i="23200"/>
  <c r="CC70" i="23183"/>
  <c r="BR70" i="23183"/>
  <c r="C66" i="23184"/>
  <c r="AV66" i="23184" s="1"/>
  <c r="CD70" i="23183"/>
  <c r="CP70" i="23183"/>
  <c r="BS70" i="23183"/>
  <c r="BZ70" i="23183"/>
  <c r="BV70" i="23183"/>
  <c r="CS70" i="23183"/>
  <c r="CI70" i="23183"/>
  <c r="CB58" i="23183"/>
  <c r="BT58" i="23183"/>
  <c r="CV58" i="23183"/>
  <c r="CN58" i="23183"/>
  <c r="CF58" i="23183"/>
  <c r="CW58" i="23183"/>
  <c r="CZ58" i="23183"/>
  <c r="CR58" i="23183"/>
  <c r="CK58" i="23183"/>
  <c r="BQ58" i="23183"/>
  <c r="BU58" i="23183"/>
  <c r="CJ58" i="23183"/>
  <c r="CC58" i="23183"/>
  <c r="CG58" i="23183"/>
  <c r="BX58" i="23183"/>
  <c r="CL58" i="23183"/>
  <c r="CD58" i="23183"/>
  <c r="CH58" i="23183"/>
  <c r="CS58" i="23183"/>
  <c r="BZ58" i="23183"/>
  <c r="BV58" i="23183"/>
  <c r="B53" i="23201"/>
  <c r="CX58" i="23183"/>
  <c r="CT58" i="23183"/>
  <c r="CA58" i="23183"/>
  <c r="BW58" i="23183"/>
  <c r="CM58" i="23183"/>
  <c r="CI58" i="23183"/>
  <c r="B53" i="23199"/>
  <c r="C54" i="23184"/>
  <c r="AV54" i="23184" s="1"/>
  <c r="CY58" i="23183"/>
  <c r="CU58" i="23183"/>
  <c r="BR58" i="23183"/>
  <c r="BS58" i="23183"/>
  <c r="BS46" i="23183"/>
  <c r="BW46" i="23183"/>
  <c r="CL46" i="23183"/>
  <c r="CE46" i="23183"/>
  <c r="CI46" i="23183"/>
  <c r="CM46" i="23183"/>
  <c r="CQ46" i="23183"/>
  <c r="CU46" i="23183"/>
  <c r="CN46" i="23183"/>
  <c r="BT46" i="23183"/>
  <c r="BX46" i="23183"/>
  <c r="CX46" i="23183"/>
  <c r="CF46" i="23183"/>
  <c r="CJ46" i="23183"/>
  <c r="CY46" i="23183"/>
  <c r="CC46" i="23183"/>
  <c r="CG46" i="23183"/>
  <c r="CK46" i="23183"/>
  <c r="CR46" i="23183"/>
  <c r="CZ46" i="23183"/>
  <c r="BU46" i="23183"/>
  <c r="CS46" i="23183"/>
  <c r="BV46" i="23183"/>
  <c r="BN46" i="23183"/>
  <c r="CH46" i="23183"/>
  <c r="B41" i="23201"/>
  <c r="CT46" i="23183"/>
  <c r="BQ46" i="23183"/>
  <c r="BY46" i="23183"/>
  <c r="B41" i="23200"/>
  <c r="BR46" i="23183"/>
  <c r="BZ46" i="23183"/>
  <c r="BS34" i="23183"/>
  <c r="BW34" i="23183"/>
  <c r="CL34" i="23183"/>
  <c r="CE34" i="23183"/>
  <c r="CI34" i="23183"/>
  <c r="CM34" i="23183"/>
  <c r="CQ34" i="23183"/>
  <c r="CU34" i="23183"/>
  <c r="CN34" i="23183"/>
  <c r="BT34" i="23183"/>
  <c r="BX34" i="23183"/>
  <c r="CX34" i="23183"/>
  <c r="CF34" i="23183"/>
  <c r="CJ34" i="23183"/>
  <c r="CY34" i="23183"/>
  <c r="CC34" i="23183"/>
  <c r="CT34" i="23183"/>
  <c r="B29" i="23200"/>
  <c r="BF34" i="23183"/>
  <c r="BQ34" i="23183"/>
  <c r="CV34" i="23183"/>
  <c r="CO34" i="23183"/>
  <c r="BY34" i="23183"/>
  <c r="BR34" i="23183"/>
  <c r="CK34" i="23183"/>
  <c r="BI34" i="23183"/>
  <c r="CD34" i="23183"/>
  <c r="CW34" i="23183"/>
  <c r="CP34" i="23183"/>
  <c r="BZ34" i="23183"/>
  <c r="BU34" i="23183"/>
  <c r="CB34" i="23183"/>
  <c r="CS34" i="23183"/>
  <c r="B17" i="23201"/>
  <c r="Y99" i="23184"/>
  <c r="P99" i="23184"/>
  <c r="AL99" i="23184"/>
  <c r="AM99" i="23184"/>
  <c r="X99" i="23184"/>
  <c r="C229" i="23198"/>
  <c r="D225" i="23198" s="1"/>
  <c r="S99" i="23184"/>
  <c r="C101" i="23198"/>
  <c r="D96" i="23198" s="1"/>
  <c r="AF99" i="23184"/>
  <c r="K99" i="23184"/>
  <c r="R99" i="23184"/>
  <c r="CN48" i="23183"/>
  <c r="M99" i="23184"/>
  <c r="AE99" i="23184"/>
  <c r="AS99" i="23184"/>
  <c r="C519" i="23198"/>
  <c r="CY84" i="23183"/>
  <c r="BS84" i="23183"/>
  <c r="BX84" i="23183"/>
  <c r="CS84" i="23183"/>
  <c r="CE84" i="23183"/>
  <c r="CK84" i="23183"/>
  <c r="CB84" i="23183"/>
  <c r="CQ84" i="23183"/>
  <c r="CU84" i="23183"/>
  <c r="CN84" i="23183"/>
  <c r="BT84" i="23183"/>
  <c r="CI84" i="23183"/>
  <c r="CZ84" i="23183"/>
  <c r="CF84" i="23183"/>
  <c r="BW84" i="23183"/>
  <c r="CE48" i="23183"/>
  <c r="CI48" i="23183"/>
  <c r="CA48" i="23183"/>
  <c r="BQ48" i="23183"/>
  <c r="CG48" i="23183"/>
  <c r="CW48" i="23183"/>
  <c r="CC48" i="23183"/>
  <c r="CS48" i="23183"/>
  <c r="CX48" i="23183"/>
  <c r="CO48" i="23183"/>
  <c r="BV48" i="23183"/>
  <c r="CY48" i="23183"/>
  <c r="BR48" i="23183"/>
  <c r="CH48" i="23183"/>
  <c r="CZ48" i="23183"/>
  <c r="CD48" i="23183"/>
  <c r="CT48" i="23183"/>
  <c r="BZ48" i="23183"/>
  <c r="CQ48" i="23183"/>
  <c r="BX48" i="23183"/>
  <c r="CM48" i="23183"/>
  <c r="CE36" i="23183"/>
  <c r="CI36" i="23183"/>
  <c r="CA36" i="23183"/>
  <c r="BR36" i="23183"/>
  <c r="CH36" i="23183"/>
  <c r="CZ36" i="23183"/>
  <c r="CD36" i="23183"/>
  <c r="CT36" i="23183"/>
  <c r="BZ36" i="23183"/>
  <c r="CP36" i="23183"/>
  <c r="BW36" i="23183"/>
  <c r="CB36" i="23183"/>
  <c r="BS36" i="23183"/>
  <c r="CU36" i="23183"/>
  <c r="CL36" i="23183"/>
  <c r="CQ36" i="23183"/>
  <c r="BX36" i="23183"/>
  <c r="CM36" i="23183"/>
  <c r="CR36" i="23183"/>
  <c r="BY36" i="23183"/>
  <c r="CL24" i="23183"/>
  <c r="CE24" i="23183"/>
  <c r="BZ24" i="23183"/>
  <c r="CQ24" i="23183"/>
  <c r="CA24" i="23183"/>
  <c r="CU24" i="23183"/>
  <c r="CM24" i="23183"/>
  <c r="CV24" i="23183"/>
  <c r="CB24" i="23183"/>
  <c r="CW24" i="23183"/>
  <c r="CN24" i="23183"/>
  <c r="BT24" i="23183"/>
  <c r="CI24" i="23183"/>
  <c r="CO24" i="23183"/>
  <c r="CF24" i="23183"/>
  <c r="Q99" i="23184"/>
  <c r="AC99" i="23184"/>
  <c r="CY83" i="23183"/>
  <c r="CE83" i="23183"/>
  <c r="CI83" i="23183"/>
  <c r="CS83" i="23183"/>
  <c r="CQ83" i="23183"/>
  <c r="CU83" i="23183"/>
  <c r="CB83" i="23183"/>
  <c r="BT83" i="23183"/>
  <c r="CW83" i="23183"/>
  <c r="CN83" i="23183"/>
  <c r="CF83" i="23183"/>
  <c r="CJ83" i="23183"/>
  <c r="CZ83" i="23183"/>
  <c r="CR83" i="23183"/>
  <c r="CK83" i="23183"/>
  <c r="CL83" i="23183"/>
  <c r="CO83" i="23183"/>
  <c r="CH83" i="23183"/>
  <c r="CL71" i="23183"/>
  <c r="BR71" i="23183"/>
  <c r="CH71" i="23183"/>
  <c r="CA71" i="23183"/>
  <c r="BS71" i="23183"/>
  <c r="CU71" i="23183"/>
  <c r="CM71" i="23183"/>
  <c r="CE71" i="23183"/>
  <c r="BX71" i="23183"/>
  <c r="CY71" i="23183"/>
  <c r="CQ71" i="23183"/>
  <c r="BY71" i="23183"/>
  <c r="CB71" i="23183"/>
  <c r="BT71" i="23183"/>
  <c r="CJ71" i="23183"/>
  <c r="CN71" i="23183"/>
  <c r="CF71" i="23183"/>
  <c r="CW71" i="23183"/>
  <c r="BQ71" i="23183"/>
  <c r="CG71" i="23183"/>
  <c r="CB59" i="23183"/>
  <c r="BT59" i="23183"/>
  <c r="BX59" i="23183"/>
  <c r="CN59" i="23183"/>
  <c r="CF59" i="23183"/>
  <c r="BY59" i="23183"/>
  <c r="CZ59" i="23183"/>
  <c r="CR59" i="23183"/>
  <c r="CJ59" i="23183"/>
  <c r="BQ59" i="23183"/>
  <c r="BU59" i="23183"/>
  <c r="CK59" i="23183"/>
  <c r="CC59" i="23183"/>
  <c r="CG59" i="23183"/>
  <c r="CV59" i="23183"/>
  <c r="CL59" i="23183"/>
  <c r="CD59" i="23183"/>
  <c r="CH59" i="23183"/>
  <c r="CP47" i="23183"/>
  <c r="BS47" i="23183"/>
  <c r="BW47" i="23183"/>
  <c r="CX47" i="23183"/>
  <c r="CE47" i="23183"/>
  <c r="CI47" i="23183"/>
  <c r="CY47" i="23183"/>
  <c r="CQ47" i="23183"/>
  <c r="CU47" i="23183"/>
  <c r="CZ47" i="23183"/>
  <c r="BT47" i="23183"/>
  <c r="BX47" i="23183"/>
  <c r="BZ47" i="23183"/>
  <c r="CC35" i="23183"/>
  <c r="CG35" i="23183"/>
  <c r="CK35" i="23183"/>
  <c r="BS35" i="23183"/>
  <c r="CI35" i="23183"/>
  <c r="CZ35" i="23183"/>
  <c r="CE35" i="23183"/>
  <c r="CU35" i="23183"/>
  <c r="BZ35" i="23183"/>
  <c r="CQ35" i="23183"/>
  <c r="BX35" i="23183"/>
  <c r="CA35" i="23183"/>
  <c r="BT35" i="23183"/>
  <c r="CJ35" i="23183"/>
  <c r="CB35" i="23183"/>
  <c r="CF35" i="23183"/>
  <c r="CV35" i="23183"/>
  <c r="BQ35" i="23183"/>
  <c r="CS35" i="23183"/>
  <c r="CL35" i="23183"/>
  <c r="BQ23" i="23183"/>
  <c r="BU23" i="23183"/>
  <c r="BZ23" i="23183"/>
  <c r="CQ23" i="23183"/>
  <c r="CJ23" i="23183"/>
  <c r="BT23" i="23183"/>
  <c r="BY23" i="23183"/>
  <c r="CF23" i="23183"/>
  <c r="CK23" i="23183"/>
  <c r="CU23" i="23183"/>
  <c r="CA23" i="23183"/>
  <c r="B18" i="23201"/>
  <c r="CG23" i="23183"/>
  <c r="CB23" i="23183"/>
  <c r="BR23" i="23183"/>
  <c r="CH23" i="23183"/>
  <c r="CN23" i="23183"/>
  <c r="F172" i="23198"/>
  <c r="C165" i="23198"/>
  <c r="D164" i="23198" s="1"/>
  <c r="C39" i="23198" s="1"/>
  <c r="C412" i="23198"/>
  <c r="D311" i="23198" s="1"/>
  <c r="F25" i="23208" a="1"/>
  <c r="H17" i="23208"/>
  <c r="O17" i="23208" s="1"/>
  <c r="BS49" i="23183"/>
  <c r="BW49" i="23183"/>
  <c r="CL49" i="23183"/>
  <c r="CC25" i="23183"/>
  <c r="BV25" i="23183"/>
  <c r="CA25" i="23183"/>
  <c r="F473" i="23198"/>
  <c r="F449" i="23198"/>
  <c r="F456" i="23198"/>
  <c r="F512" i="23198"/>
  <c r="F444" i="23198"/>
  <c r="F508" i="23198"/>
  <c r="F443" i="23198"/>
  <c r="F485" i="23198"/>
  <c r="F493" i="23198"/>
  <c r="Q48" i="23209"/>
  <c r="AK48" i="23209"/>
  <c r="CH87" i="23183"/>
  <c r="BR87" i="23183"/>
  <c r="F452" i="23198"/>
  <c r="F481" i="23198"/>
  <c r="F461" i="23198"/>
  <c r="F457" i="23198"/>
  <c r="F475" i="23198"/>
  <c r="F488" i="23198"/>
  <c r="F507" i="23198"/>
  <c r="F431" i="23198"/>
  <c r="N48" i="23209"/>
  <c r="Y48" i="23209"/>
  <c r="R62" i="23209"/>
  <c r="I89" i="23210"/>
  <c r="F419" i="23198"/>
  <c r="F484" i="23198"/>
  <c r="F279" i="23198"/>
  <c r="K20" i="23178"/>
  <c r="S48" i="23209"/>
  <c r="I48" i="23209"/>
  <c r="AJ48" i="23209"/>
  <c r="T62" i="23209"/>
  <c r="F15" i="23208"/>
  <c r="M48" i="23209"/>
  <c r="K48" i="23209"/>
  <c r="X48" i="23209"/>
  <c r="Y62" i="23209"/>
  <c r="Z4" i="23208"/>
  <c r="L48" i="23209"/>
  <c r="V48" i="23209"/>
  <c r="W48" i="23209"/>
  <c r="N62" i="23209"/>
  <c r="F14" i="23208"/>
  <c r="J48" i="23209"/>
  <c r="AI48" i="23209"/>
  <c r="K62" i="23209"/>
  <c r="Z62" i="23209"/>
  <c r="I71" i="23210"/>
  <c r="J71" i="23210" s="1"/>
  <c r="K71" i="23210" s="1"/>
  <c r="L71" i="23210" s="1"/>
  <c r="F483" i="23198"/>
  <c r="F438" i="23198"/>
  <c r="F422" i="23198"/>
  <c r="F510" i="23198"/>
  <c r="F503" i="23198"/>
  <c r="Z10" i="23208"/>
  <c r="U48" i="23209"/>
  <c r="AC48" i="23209"/>
  <c r="AG48" i="23209"/>
  <c r="L62" i="23209"/>
  <c r="P62" i="23209"/>
  <c r="I139" i="23210"/>
  <c r="F17" i="23208"/>
  <c r="T48" i="23209"/>
  <c r="AB48" i="23209"/>
  <c r="AF48" i="23209"/>
  <c r="J62" i="23209"/>
  <c r="X62" i="23209"/>
  <c r="I192" i="23210"/>
  <c r="P48" i="23209"/>
  <c r="AA48" i="23209"/>
  <c r="AE48" i="23209"/>
  <c r="S62" i="23209"/>
  <c r="R48" i="23209"/>
  <c r="V62" i="23209"/>
  <c r="G19" i="23200" l="1"/>
  <c r="AK30" i="23184"/>
  <c r="AK35" i="23184"/>
  <c r="AM35" i="23184"/>
  <c r="AP35" i="23184"/>
  <c r="S35" i="23184"/>
  <c r="D114" i="23198"/>
  <c r="D116" i="23198"/>
  <c r="Z30" i="23184"/>
  <c r="J68" i="23200"/>
  <c r="X42" i="23184"/>
  <c r="AH42" i="23184"/>
  <c r="V81" i="23184"/>
  <c r="Q81" i="23184"/>
  <c r="AU81" i="23184"/>
  <c r="F19" i="23200"/>
  <c r="D115" i="23198"/>
  <c r="F30" i="23184"/>
  <c r="U30" i="23184"/>
  <c r="O64" i="23200"/>
  <c r="J22" i="23200"/>
  <c r="AU18" i="23183"/>
  <c r="BA18" i="23183" s="1"/>
  <c r="Y35" i="23184"/>
  <c r="AO35" i="23184"/>
  <c r="AC35" i="23184"/>
  <c r="T35" i="23184"/>
  <c r="AL23" i="23184"/>
  <c r="O23" i="23184"/>
  <c r="B29" i="23184"/>
  <c r="AM30" i="23184"/>
  <c r="AV47" i="23184"/>
  <c r="H64" i="23200"/>
  <c r="I68" i="23200"/>
  <c r="F20" i="23201"/>
  <c r="I22" i="23200"/>
  <c r="AL35" i="23184"/>
  <c r="K35" i="23184"/>
  <c r="X23" i="23184"/>
  <c r="F126" i="23198"/>
  <c r="N19" i="23200"/>
  <c r="D106" i="23198"/>
  <c r="D118" i="23198"/>
  <c r="S42" i="23184"/>
  <c r="AC42" i="23184"/>
  <c r="F134" i="23198"/>
  <c r="F111" i="23198"/>
  <c r="E81" i="23184"/>
  <c r="U81" i="23184"/>
  <c r="AG81" i="23184"/>
  <c r="C19" i="23200"/>
  <c r="D117" i="23198"/>
  <c r="D109" i="23198"/>
  <c r="AB30" i="23184"/>
  <c r="V30" i="23184"/>
  <c r="I30" i="23184"/>
  <c r="H30" i="23184"/>
  <c r="N64" i="23200"/>
  <c r="M68" i="23200"/>
  <c r="N68" i="23200"/>
  <c r="C68" i="23200"/>
  <c r="K22" i="23200"/>
  <c r="AB35" i="23184"/>
  <c r="E13" i="23201"/>
  <c r="AH35" i="23184"/>
  <c r="F116" i="23198"/>
  <c r="X81" i="23184"/>
  <c r="AP81" i="23184"/>
  <c r="Z81" i="23184"/>
  <c r="M19" i="23200"/>
  <c r="D124" i="23198"/>
  <c r="D111" i="23198"/>
  <c r="F23" i="23199"/>
  <c r="F22" i="23199" s="1"/>
  <c r="F21" i="23199" s="1"/>
  <c r="F20" i="23199" s="1"/>
  <c r="F19" i="23199" s="1"/>
  <c r="F18" i="23200"/>
  <c r="G30" i="23184"/>
  <c r="K30" i="23184"/>
  <c r="J30" i="23184"/>
  <c r="K63" i="23200"/>
  <c r="Q35" i="23184"/>
  <c r="M64" i="23200"/>
  <c r="Z23" i="23184"/>
  <c r="M23" i="23184"/>
  <c r="AM23" i="23184"/>
  <c r="AO23" i="23184"/>
  <c r="AE23" i="23184"/>
  <c r="D121" i="23198"/>
  <c r="X35" i="23184"/>
  <c r="AG42" i="23184"/>
  <c r="AF42" i="23184"/>
  <c r="Z42" i="23184"/>
  <c r="F114" i="23198"/>
  <c r="F110" i="23198"/>
  <c r="AC81" i="23184"/>
  <c r="T81" i="23184"/>
  <c r="AA81" i="23184"/>
  <c r="D110" i="23198"/>
  <c r="M30" i="23184"/>
  <c r="AH30" i="23184"/>
  <c r="S30" i="23184"/>
  <c r="O30" i="23184"/>
  <c r="E16" i="23201"/>
  <c r="F68" i="23200"/>
  <c r="E64" i="23200"/>
  <c r="F35" i="23184"/>
  <c r="AI35" i="23184"/>
  <c r="R23" i="23184"/>
  <c r="E23" i="23184"/>
  <c r="H23" i="23184" s="1"/>
  <c r="AV35" i="23184"/>
  <c r="F106" i="23198"/>
  <c r="F127" i="23198" s="1"/>
  <c r="F270" i="23198"/>
  <c r="R42" i="23184"/>
  <c r="L42" i="23184"/>
  <c r="AD42" i="23184"/>
  <c r="F115" i="23198"/>
  <c r="F121" i="23198"/>
  <c r="AD81" i="23184"/>
  <c r="AJ81" i="23184"/>
  <c r="F81" i="23184"/>
  <c r="O19" i="23200"/>
  <c r="D120" i="23198"/>
  <c r="D113" i="23198"/>
  <c r="F118" i="23198"/>
  <c r="I19" i="23200"/>
  <c r="Y30" i="23184"/>
  <c r="P30" i="23184"/>
  <c r="AU30" i="23184"/>
  <c r="AG30" i="23184"/>
  <c r="E30" i="23184"/>
  <c r="AV30" i="23184"/>
  <c r="L68" i="23200"/>
  <c r="AG35" i="23184"/>
  <c r="AD23" i="23184"/>
  <c r="AJ23" i="23184" s="1"/>
  <c r="K23" i="23184"/>
  <c r="X30" i="23184"/>
  <c r="H63" i="23200"/>
  <c r="AS25" i="23183"/>
  <c r="AY25" i="23183" s="1"/>
  <c r="E42" i="23184"/>
  <c r="F109" i="23198"/>
  <c r="F125" i="23198"/>
  <c r="F107" i="23198"/>
  <c r="O81" i="23184"/>
  <c r="AS81" i="23184"/>
  <c r="E19" i="23200"/>
  <c r="D122" i="23198"/>
  <c r="F120" i="23198"/>
  <c r="AO30" i="23184"/>
  <c r="AJ30" i="23184"/>
  <c r="T30" i="23184"/>
  <c r="AD30" i="23184"/>
  <c r="AT26" i="23183"/>
  <c r="AZ26" i="23183" s="1"/>
  <c r="N22" i="23200"/>
  <c r="I64" i="23200"/>
  <c r="F15" i="23201"/>
  <c r="AS27" i="23183"/>
  <c r="AY27" i="23183" s="1"/>
  <c r="V35" i="23184"/>
  <c r="AJ35" i="23184"/>
  <c r="U35" i="23184"/>
  <c r="J23" i="23184"/>
  <c r="F117" i="23198"/>
  <c r="F113" i="23198"/>
  <c r="AL81" i="23184"/>
  <c r="D19" i="23200"/>
  <c r="D253" i="23198"/>
  <c r="AE30" i="23184"/>
  <c r="AS30" i="23184"/>
  <c r="AU27" i="23183"/>
  <c r="BA27" i="23183" s="1"/>
  <c r="H35" i="23184"/>
  <c r="AU35" i="23184"/>
  <c r="G35" i="23184"/>
  <c r="R35" i="23184"/>
  <c r="M35" i="23184"/>
  <c r="AT25" i="23183"/>
  <c r="AZ25" i="23183" s="1"/>
  <c r="D30" i="23199"/>
  <c r="G34" i="23200"/>
  <c r="Y24" i="23184"/>
  <c r="AO24" i="23184"/>
  <c r="B23" i="23184"/>
  <c r="E24" i="23184"/>
  <c r="AG24" i="23184"/>
  <c r="J24" i="23184"/>
  <c r="G24" i="23184"/>
  <c r="AH24" i="23184"/>
  <c r="Z24" i="23184"/>
  <c r="AF24" i="23184"/>
  <c r="X24" i="23184"/>
  <c r="O24" i="23184"/>
  <c r="S24" i="23184"/>
  <c r="N24" i="23184"/>
  <c r="K24" i="23184"/>
  <c r="AB24" i="23184"/>
  <c r="L24" i="23184"/>
  <c r="U24" i="23184"/>
  <c r="AK24" i="23184"/>
  <c r="AL24" i="23184"/>
  <c r="AM24" i="23184"/>
  <c r="F24" i="23184"/>
  <c r="M24" i="23184"/>
  <c r="P24" i="23184"/>
  <c r="AD24" i="23184"/>
  <c r="AE43" i="23184"/>
  <c r="I43" i="23184"/>
  <c r="O60" i="23200"/>
  <c r="F34" i="23200"/>
  <c r="AF43" i="23184"/>
  <c r="R43" i="23184"/>
  <c r="G43" i="23184"/>
  <c r="K12" i="23193"/>
  <c r="Q21" i="23183"/>
  <c r="F227" i="23198"/>
  <c r="N34" i="23200"/>
  <c r="R24" i="23184"/>
  <c r="N43" i="23184"/>
  <c r="E43" i="23184"/>
  <c r="F225" i="23198"/>
  <c r="I34" i="23200"/>
  <c r="D34" i="23200"/>
  <c r="AP26" i="23184"/>
  <c r="AV79" i="23184"/>
  <c r="AE24" i="23184"/>
  <c r="E34" i="23200"/>
  <c r="M34" i="23200"/>
  <c r="AT18" i="23183"/>
  <c r="AZ18" i="23183" s="1"/>
  <c r="I24" i="23184"/>
  <c r="L60" i="23200"/>
  <c r="M59" i="23200"/>
  <c r="C59" i="23200"/>
  <c r="N59" i="23200"/>
  <c r="D59" i="23200"/>
  <c r="E59" i="23200"/>
  <c r="L59" i="23200"/>
  <c r="I59" i="23200"/>
  <c r="AD35" i="23184"/>
  <c r="E35" i="23184"/>
  <c r="AF35" i="23184"/>
  <c r="AN35" i="23184"/>
  <c r="AE35" i="23184"/>
  <c r="B34" i="23184"/>
  <c r="I35" i="23184"/>
  <c r="Z35" i="23184"/>
  <c r="AA35" i="23184"/>
  <c r="AS35" i="23184"/>
  <c r="AA43" i="23184"/>
  <c r="F203" i="23198"/>
  <c r="F205" i="23198"/>
  <c r="F218" i="23198"/>
  <c r="K43" i="23184"/>
  <c r="Q59" i="23209"/>
  <c r="L59" i="23209"/>
  <c r="F220" i="23198"/>
  <c r="AJ43" i="23184"/>
  <c r="AB43" i="23184"/>
  <c r="AG43" i="23184"/>
  <c r="F30" i="23199"/>
  <c r="F206" i="23198"/>
  <c r="V71" i="23184"/>
  <c r="D66" i="23200"/>
  <c r="AC24" i="23184"/>
  <c r="R59" i="23209"/>
  <c r="F219" i="23198"/>
  <c r="AU23" i="23183"/>
  <c r="BA23" i="23183" s="1"/>
  <c r="AI71" i="23184"/>
  <c r="BN25" i="23183"/>
  <c r="BP25" i="23183" s="1"/>
  <c r="I49" i="23177"/>
  <c r="E15" i="23211"/>
  <c r="F16" i="23211" s="1"/>
  <c r="B13" i="23184"/>
  <c r="R71" i="23184"/>
  <c r="AS71" i="23184"/>
  <c r="H34" i="23199"/>
  <c r="Z71" i="23184"/>
  <c r="D187" i="23198"/>
  <c r="AU23" i="23184"/>
  <c r="G14" i="23184"/>
  <c r="AP71" i="23184"/>
  <c r="E71" i="23184"/>
  <c r="D273" i="23198"/>
  <c r="AF71" i="23184"/>
  <c r="D86" i="23198"/>
  <c r="X71" i="23184"/>
  <c r="AS23" i="23183"/>
  <c r="AY23" i="23183" s="1"/>
  <c r="AZ27" i="23183"/>
  <c r="F379" i="23198"/>
  <c r="M71" i="23184"/>
  <c r="AT23" i="23183"/>
  <c r="AZ23" i="23183" s="1"/>
  <c r="AV67" i="23184"/>
  <c r="G71" i="23184"/>
  <c r="F388" i="23198"/>
  <c r="AE71" i="23184"/>
  <c r="D29" i="23199"/>
  <c r="U71" i="23184"/>
  <c r="AG71" i="23184"/>
  <c r="Y71" i="23184"/>
  <c r="T71" i="23184"/>
  <c r="D194" i="23198"/>
  <c r="D20" i="23201"/>
  <c r="D55" i="23201"/>
  <c r="D88" i="23198"/>
  <c r="G71" i="23200"/>
  <c r="G34" i="23199"/>
  <c r="G37" i="23199"/>
  <c r="D34" i="23199"/>
  <c r="F359" i="23198"/>
  <c r="H71" i="23184"/>
  <c r="BA25" i="23183"/>
  <c r="C20" i="23199"/>
  <c r="E55" i="23201"/>
  <c r="N71" i="23184"/>
  <c r="D85" i="23198"/>
  <c r="AV83" i="23184"/>
  <c r="K71" i="23200"/>
  <c r="E37" i="23199"/>
  <c r="G24" i="23199"/>
  <c r="E24" i="23199"/>
  <c r="AU71" i="23184"/>
  <c r="D87" i="23198"/>
  <c r="C37" i="23199"/>
  <c r="F343" i="23198"/>
  <c r="AC71" i="23184"/>
  <c r="D37" i="23199"/>
  <c r="F334" i="23198"/>
  <c r="F71" i="23184"/>
  <c r="D83" i="23198"/>
  <c r="Q71" i="23184"/>
  <c r="H37" i="23199"/>
  <c r="AO59" i="23184"/>
  <c r="AC59" i="23184"/>
  <c r="AI59" i="23184"/>
  <c r="G59" i="23184"/>
  <c r="AM59" i="23184"/>
  <c r="AL59" i="23184"/>
  <c r="M59" i="23184"/>
  <c r="Z59" i="23184"/>
  <c r="AB59" i="23184"/>
  <c r="AN59" i="23184"/>
  <c r="AH59" i="23184"/>
  <c r="K59" i="23184"/>
  <c r="AD59" i="23184"/>
  <c r="AE59" i="23184"/>
  <c r="R59" i="23184"/>
  <c r="O59" i="23184"/>
  <c r="L59" i="23184"/>
  <c r="P59" i="23184"/>
  <c r="X59" i="23184"/>
  <c r="U59" i="23184"/>
  <c r="AG59" i="23184"/>
  <c r="AS59" i="23184"/>
  <c r="Y59" i="23184"/>
  <c r="S59" i="23184"/>
  <c r="AJ59" i="23184"/>
  <c r="H59" i="23184"/>
  <c r="N59" i="23184"/>
  <c r="D136" i="23198"/>
  <c r="F69" i="23200"/>
  <c r="AK59" i="23184"/>
  <c r="F70" i="23200"/>
  <c r="E70" i="23200"/>
  <c r="G70" i="23200"/>
  <c r="L70" i="23200"/>
  <c r="H70" i="23200"/>
  <c r="M70" i="23200"/>
  <c r="C70" i="23200"/>
  <c r="I70" i="23200"/>
  <c r="N70" i="23200"/>
  <c r="O70" i="23200"/>
  <c r="K70" i="23200"/>
  <c r="J70" i="23200"/>
  <c r="D70" i="23200"/>
  <c r="F42" i="23201"/>
  <c r="E42" i="23201"/>
  <c r="D209" i="23198"/>
  <c r="D135" i="23198"/>
  <c r="G69" i="23200"/>
  <c r="I59" i="23184"/>
  <c r="C46" i="23200"/>
  <c r="F46" i="23200"/>
  <c r="I46" i="23200"/>
  <c r="L46" i="23200"/>
  <c r="D46" i="23200"/>
  <c r="N46" i="23200"/>
  <c r="J46" i="23200"/>
  <c r="M46" i="23200"/>
  <c r="E46" i="23200"/>
  <c r="O46" i="23200"/>
  <c r="K46" i="23200"/>
  <c r="G46" i="23200"/>
  <c r="H46" i="23200"/>
  <c r="C25" i="23199"/>
  <c r="D134" i="23198"/>
  <c r="E69" i="23200"/>
  <c r="AU59" i="23184"/>
  <c r="AV62" i="23184"/>
  <c r="AK62" i="23184"/>
  <c r="J62" i="23184"/>
  <c r="Q62" i="23184"/>
  <c r="R62" i="23184"/>
  <c r="P62" i="23184"/>
  <c r="AF62" i="23184"/>
  <c r="H62" i="23184"/>
  <c r="AC62" i="23184"/>
  <c r="G62" i="23184"/>
  <c r="AP62" i="23184"/>
  <c r="AJ62" i="23184"/>
  <c r="S62" i="23184"/>
  <c r="AG62" i="23184"/>
  <c r="F62" i="23184"/>
  <c r="AH62" i="23184"/>
  <c r="AD62" i="23184"/>
  <c r="AE62" i="23184"/>
  <c r="AS62" i="23184"/>
  <c r="O62" i="23184"/>
  <c r="AI62" i="23184"/>
  <c r="M62" i="23184"/>
  <c r="T62" i="23184"/>
  <c r="E62" i="23184"/>
  <c r="AO62" i="23184"/>
  <c r="AU62" i="23184"/>
  <c r="B61" i="23184"/>
  <c r="AA62" i="23184"/>
  <c r="AM62" i="23184"/>
  <c r="L62" i="23184"/>
  <c r="AL62" i="23184"/>
  <c r="K62" i="23184"/>
  <c r="X62" i="23184"/>
  <c r="I62" i="23184"/>
  <c r="U62" i="23184"/>
  <c r="AB62" i="23184"/>
  <c r="N62" i="23184"/>
  <c r="V62" i="23184"/>
  <c r="AN62" i="23184"/>
  <c r="E61" i="23201"/>
  <c r="F61" i="23201"/>
  <c r="F25" i="23199"/>
  <c r="D132" i="23198"/>
  <c r="D138" i="23198" s="1"/>
  <c r="D69" i="23200"/>
  <c r="B31" i="23184"/>
  <c r="AV32" i="23184"/>
  <c r="Q59" i="23184"/>
  <c r="T59" i="23209"/>
  <c r="C28" i="23198"/>
  <c r="F287" i="23198" s="1"/>
  <c r="D133" i="23198"/>
  <c r="AE32" i="23184"/>
  <c r="AK32" i="23184"/>
  <c r="AF59" i="23184"/>
  <c r="P59" i="23209"/>
  <c r="M59" i="23209"/>
  <c r="F53" i="23198"/>
  <c r="D49" i="23199"/>
  <c r="L32" i="23184"/>
  <c r="F49" i="23199"/>
  <c r="AA59" i="23184"/>
  <c r="F48" i="23198"/>
  <c r="E63" i="23200"/>
  <c r="E32" i="23184"/>
  <c r="AP59" i="23184"/>
  <c r="AT21" i="23183"/>
  <c r="AZ21" i="23183" s="1"/>
  <c r="BN21" i="23183"/>
  <c r="BP21" i="23183" s="1"/>
  <c r="L67" i="23184"/>
  <c r="AA67" i="23184"/>
  <c r="I67" i="23184"/>
  <c r="AO67" i="23184"/>
  <c r="AH67" i="23184"/>
  <c r="Q67" i="23184"/>
  <c r="AG67" i="23184"/>
  <c r="AF67" i="23184"/>
  <c r="AP67" i="23184"/>
  <c r="AD67" i="23184"/>
  <c r="E67" i="23184"/>
  <c r="R67" i="23184"/>
  <c r="T67" i="23184"/>
  <c r="P67" i="23184"/>
  <c r="V67" i="23184"/>
  <c r="S67" i="23184"/>
  <c r="AL67" i="23184"/>
  <c r="AC67" i="23184"/>
  <c r="N67" i="23184"/>
  <c r="Z67" i="23184"/>
  <c r="AN67" i="23184"/>
  <c r="AI67" i="23184"/>
  <c r="X67" i="23184"/>
  <c r="H67" i="23184"/>
  <c r="U67" i="23184"/>
  <c r="AM67" i="23184"/>
  <c r="O67" i="23184"/>
  <c r="AJ67" i="23184"/>
  <c r="B66" i="23184"/>
  <c r="AU67" i="23184"/>
  <c r="J67" i="23184"/>
  <c r="G67" i="23184"/>
  <c r="F67" i="23184"/>
  <c r="AK67" i="23184"/>
  <c r="K67" i="23184"/>
  <c r="Y67" i="23184"/>
  <c r="AS67" i="23184"/>
  <c r="AB67" i="23184"/>
  <c r="M67" i="23184"/>
  <c r="N32" i="23184"/>
  <c r="CT21" i="23183"/>
  <c r="CZ21" i="23183" s="1"/>
  <c r="V59" i="23184"/>
  <c r="BN22" i="23183"/>
  <c r="BP22" i="23183" s="1"/>
  <c r="BN28" i="23183"/>
  <c r="BP28" i="23183" s="1"/>
  <c r="AS18" i="23183"/>
  <c r="AY18" i="23183" s="1"/>
  <c r="CS21" i="23183"/>
  <c r="CY21" i="23183" s="1"/>
  <c r="AU21" i="23183"/>
  <c r="BA21" i="23183" s="1"/>
  <c r="J59" i="23184"/>
  <c r="AU22" i="23183"/>
  <c r="BA22" i="23183" s="1"/>
  <c r="AT22" i="23183"/>
  <c r="AZ22" i="23183" s="1"/>
  <c r="O22" i="23183"/>
  <c r="Q22" i="23183" s="1"/>
  <c r="CR18" i="23183"/>
  <c r="CX18" i="23183" s="1"/>
  <c r="CT18" i="23183"/>
  <c r="CZ18" i="23183" s="1"/>
  <c r="BN18" i="23183"/>
  <c r="BP18" i="23183" s="1"/>
  <c r="D255" i="23198"/>
  <c r="BN24" i="23183"/>
  <c r="BP24" i="23183" s="1"/>
  <c r="K32" i="23184"/>
  <c r="B58" i="23184"/>
  <c r="CS18" i="23183"/>
  <c r="CY18" i="23183" s="1"/>
  <c r="E59" i="23184"/>
  <c r="O22" i="23200"/>
  <c r="M22" i="23200"/>
  <c r="C22" i="23200"/>
  <c r="F22" i="23200"/>
  <c r="H22" i="23200"/>
  <c r="I20" i="23200"/>
  <c r="O20" i="23200"/>
  <c r="J20" i="23200"/>
  <c r="N20" i="23200"/>
  <c r="C20" i="23200"/>
  <c r="D20" i="23200"/>
  <c r="H20" i="23200"/>
  <c r="E20" i="23200"/>
  <c r="L20" i="23200"/>
  <c r="F20" i="23200"/>
  <c r="K20" i="23200"/>
  <c r="G20" i="23200"/>
  <c r="M20" i="23200"/>
  <c r="F362" i="23198"/>
  <c r="F396" i="23198"/>
  <c r="F368" i="23198"/>
  <c r="F322" i="23198"/>
  <c r="F369" i="23198"/>
  <c r="F347" i="23198"/>
  <c r="F338" i="23198"/>
  <c r="F316" i="23198"/>
  <c r="AM22" i="23184"/>
  <c r="AI22" i="23184"/>
  <c r="L22" i="23184"/>
  <c r="AY21" i="23183"/>
  <c r="AI34" i="23184"/>
  <c r="E29" i="23199"/>
  <c r="E60" i="23200"/>
  <c r="E46" i="23201"/>
  <c r="K60" i="23200"/>
  <c r="O71" i="23184"/>
  <c r="AL71" i="23184"/>
  <c r="E45" i="23200"/>
  <c r="E47" i="23201"/>
  <c r="F47" i="23201"/>
  <c r="AV81" i="23184"/>
  <c r="AI81" i="23184"/>
  <c r="R81" i="23184"/>
  <c r="P81" i="23184"/>
  <c r="M81" i="23184"/>
  <c r="L81" i="23184"/>
  <c r="AN81" i="23184"/>
  <c r="B80" i="23184"/>
  <c r="AK81" i="23184"/>
  <c r="G81" i="23184"/>
  <c r="F339" i="23198"/>
  <c r="F391" i="23198"/>
  <c r="F397" i="23198"/>
  <c r="F382" i="23198"/>
  <c r="F363" i="23198"/>
  <c r="F331" i="23198"/>
  <c r="F162" i="23198"/>
  <c r="Z22" i="23184"/>
  <c r="AL22" i="23184"/>
  <c r="F154" i="23198"/>
  <c r="AC22" i="23184"/>
  <c r="E22" i="23184"/>
  <c r="G60" i="23200"/>
  <c r="S71" i="23184"/>
  <c r="J45" i="23200"/>
  <c r="D23" i="23199"/>
  <c r="D60" i="23200"/>
  <c r="AT24" i="23183"/>
  <c r="AZ24" i="23183" s="1"/>
  <c r="F400" i="23198"/>
  <c r="AD34" i="23184"/>
  <c r="N60" i="23200"/>
  <c r="F402" i="23198"/>
  <c r="F337" i="23198"/>
  <c r="F327" i="23198"/>
  <c r="F394" i="23198"/>
  <c r="F351" i="23198"/>
  <c r="F352" i="23198"/>
  <c r="F161" i="23198"/>
  <c r="O22" i="23184"/>
  <c r="AF22" i="23184"/>
  <c r="F146" i="23198"/>
  <c r="F149" i="23198"/>
  <c r="I60" i="23200"/>
  <c r="P71" i="23184"/>
  <c r="I45" i="23200"/>
  <c r="D64" i="23200"/>
  <c r="J64" i="23200"/>
  <c r="C64" i="23200"/>
  <c r="H68" i="23200"/>
  <c r="K68" i="23200"/>
  <c r="D68" i="23200"/>
  <c r="E68" i="23200"/>
  <c r="F68" i="23201"/>
  <c r="E68" i="23201"/>
  <c r="Z72" i="23184"/>
  <c r="AB72" i="23184"/>
  <c r="AU72" i="23184"/>
  <c r="AF72" i="23184"/>
  <c r="F72" i="23184"/>
  <c r="AL72" i="23184"/>
  <c r="E72" i="23184"/>
  <c r="B71" i="23184"/>
  <c r="AS72" i="23184"/>
  <c r="AG72" i="23184"/>
  <c r="AJ72" i="23184"/>
  <c r="AM72" i="23184"/>
  <c r="J72" i="23184"/>
  <c r="M72" i="23184"/>
  <c r="L72" i="23184"/>
  <c r="AD72" i="23184"/>
  <c r="N72" i="23184"/>
  <c r="X72" i="23184"/>
  <c r="T72" i="23184"/>
  <c r="AN72" i="23184"/>
  <c r="AH72" i="23184"/>
  <c r="V72" i="23184"/>
  <c r="O72" i="23184"/>
  <c r="U72" i="23184"/>
  <c r="AC72" i="23184"/>
  <c r="R72" i="23184"/>
  <c r="G72" i="23184"/>
  <c r="AK72" i="23184"/>
  <c r="Q72" i="23184"/>
  <c r="I72" i="23184"/>
  <c r="Y72" i="23184"/>
  <c r="K72" i="23184"/>
  <c r="AO72" i="23184"/>
  <c r="AE72" i="23184"/>
  <c r="P72" i="23184"/>
  <c r="S72" i="23184"/>
  <c r="AP72" i="23184"/>
  <c r="AI72" i="23184"/>
  <c r="H72" i="23184"/>
  <c r="AJ77" i="23184"/>
  <c r="O77" i="23184"/>
  <c r="AC77" i="23184"/>
  <c r="Y77" i="23184"/>
  <c r="V77" i="23184"/>
  <c r="U77" i="23184"/>
  <c r="AK77" i="23184"/>
  <c r="AH77" i="23184"/>
  <c r="I77" i="23184"/>
  <c r="AU77" i="23184"/>
  <c r="AP77" i="23184"/>
  <c r="P77" i="23184"/>
  <c r="G77" i="23184"/>
  <c r="AD77" i="23184"/>
  <c r="AL77" i="23184"/>
  <c r="E77" i="23184"/>
  <c r="AG77" i="23184"/>
  <c r="AE77" i="23184"/>
  <c r="AB77" i="23184"/>
  <c r="AA77" i="23184"/>
  <c r="AO77" i="23184"/>
  <c r="L77" i="23184"/>
  <c r="Z77" i="23184"/>
  <c r="Q77" i="23184"/>
  <c r="F77" i="23184"/>
  <c r="J77" i="23184"/>
  <c r="AF77" i="23184"/>
  <c r="N77" i="23184"/>
  <c r="T77" i="23184"/>
  <c r="AN77" i="23184"/>
  <c r="B76" i="23184"/>
  <c r="S77" i="23184"/>
  <c r="AM77" i="23184"/>
  <c r="R77" i="23184"/>
  <c r="AS77" i="23184"/>
  <c r="K77" i="23184"/>
  <c r="M77" i="23184"/>
  <c r="H77" i="23184"/>
  <c r="X77" i="23184"/>
  <c r="F398" i="23198"/>
  <c r="F411" i="23198"/>
  <c r="F380" i="23198"/>
  <c r="F377" i="23198"/>
  <c r="F370" i="23198"/>
  <c r="F406" i="23198"/>
  <c r="F164" i="23198"/>
  <c r="F165" i="23198" s="1"/>
  <c r="J22" i="23184"/>
  <c r="AD22" i="23184"/>
  <c r="AC34" i="23184"/>
  <c r="J60" i="23200"/>
  <c r="AA71" i="23184"/>
  <c r="L71" i="23184"/>
  <c r="M45" i="23200"/>
  <c r="O24" i="23183"/>
  <c r="Q24" i="23183" s="1"/>
  <c r="C13" i="23199"/>
  <c r="F56" i="23199"/>
  <c r="G56" i="23199"/>
  <c r="H56" i="23199"/>
  <c r="E56" i="23199"/>
  <c r="D56" i="23199"/>
  <c r="C56" i="23199"/>
  <c r="F23" i="23201"/>
  <c r="D23" i="23201" s="1"/>
  <c r="F373" i="23198"/>
  <c r="F310" i="23198"/>
  <c r="F389" i="23198"/>
  <c r="F355" i="23198"/>
  <c r="F387" i="23198"/>
  <c r="F349" i="23198"/>
  <c r="F360" i="23198"/>
  <c r="AK22" i="23184"/>
  <c r="AG22" i="23184"/>
  <c r="V34" i="23184"/>
  <c r="H60" i="23200"/>
  <c r="AO71" i="23184"/>
  <c r="F45" i="23200"/>
  <c r="AV77" i="23184"/>
  <c r="C21" i="23199"/>
  <c r="D44" i="23199"/>
  <c r="C44" i="23199"/>
  <c r="E44" i="23199"/>
  <c r="F44" i="23199"/>
  <c r="G44" i="23199"/>
  <c r="H44" i="23199"/>
  <c r="Y22" i="23184"/>
  <c r="AO22" i="23184"/>
  <c r="F60" i="23200"/>
  <c r="M60" i="23200"/>
  <c r="AI77" i="23184"/>
  <c r="AV72" i="23184"/>
  <c r="E35" i="23201"/>
  <c r="F35" i="23201"/>
  <c r="G71" i="23199"/>
  <c r="D71" i="23199"/>
  <c r="C71" i="23199"/>
  <c r="E71" i="23199"/>
  <c r="F71" i="23199"/>
  <c r="H71" i="23199"/>
  <c r="G30" i="23199"/>
  <c r="H30" i="23199"/>
  <c r="E28" i="23201"/>
  <c r="F28" i="23201"/>
  <c r="F324" i="23198"/>
  <c r="F381" i="23198"/>
  <c r="F312" i="23198"/>
  <c r="F392" i="23198"/>
  <c r="F315" i="23198"/>
  <c r="F364" i="23198"/>
  <c r="I22" i="23184"/>
  <c r="X22" i="23184"/>
  <c r="D46" i="23201"/>
  <c r="D14" i="23201"/>
  <c r="AK71" i="23184"/>
  <c r="AJ71" i="23184"/>
  <c r="K71" i="23184"/>
  <c r="BN27" i="23183"/>
  <c r="BP27" i="23183" s="1"/>
  <c r="AA72" i="23184"/>
  <c r="F31" i="23184"/>
  <c r="M31" i="23184"/>
  <c r="AG31" i="23184"/>
  <c r="AM31" i="23184"/>
  <c r="AB31" i="23184"/>
  <c r="I31" i="23184"/>
  <c r="R31" i="23184"/>
  <c r="Z31" i="23184"/>
  <c r="AE31" i="23184"/>
  <c r="J31" i="23184"/>
  <c r="P31" i="23184"/>
  <c r="AJ31" i="23184"/>
  <c r="B30" i="23184"/>
  <c r="L31" i="23184"/>
  <c r="G31" i="23184"/>
  <c r="O31" i="23184"/>
  <c r="AP31" i="23184"/>
  <c r="AA31" i="23184"/>
  <c r="T31" i="23184"/>
  <c r="Y31" i="23184"/>
  <c r="U31" i="23184"/>
  <c r="V31" i="23184"/>
  <c r="X31" i="23184"/>
  <c r="AH31" i="23184"/>
  <c r="N31" i="23184"/>
  <c r="S31" i="23184"/>
  <c r="AL31" i="23184"/>
  <c r="AO31" i="23184"/>
  <c r="K31" i="23184"/>
  <c r="AC31" i="23184"/>
  <c r="K66" i="23200"/>
  <c r="L66" i="23200"/>
  <c r="C66" i="23200"/>
  <c r="I66" i="23200"/>
  <c r="O66" i="23200"/>
  <c r="N66" i="23200"/>
  <c r="M66" i="23200"/>
  <c r="E66" i="23200"/>
  <c r="F66" i="23200"/>
  <c r="E32" i="23201"/>
  <c r="F32" i="23201"/>
  <c r="F325" i="23198"/>
  <c r="F317" i="23198"/>
  <c r="F395" i="23198"/>
  <c r="F328" i="23198"/>
  <c r="F356" i="23198"/>
  <c r="F403" i="23198"/>
  <c r="F407" i="23198"/>
  <c r="F330" i="23198"/>
  <c r="F410" i="23198"/>
  <c r="F335" i="23198"/>
  <c r="F366" i="23198"/>
  <c r="M22" i="23184"/>
  <c r="G22" i="23184"/>
  <c r="H22" i="23184" s="1"/>
  <c r="AU22" i="23184" s="1"/>
  <c r="C16" i="23199"/>
  <c r="H29" i="23199"/>
  <c r="B70" i="23184"/>
  <c r="I71" i="23184"/>
  <c r="E32" i="23199"/>
  <c r="F32" i="23199"/>
  <c r="G32" i="23199"/>
  <c r="H32" i="23199"/>
  <c r="C32" i="23199"/>
  <c r="D32" i="23199"/>
  <c r="L56" i="23200"/>
  <c r="M56" i="23200"/>
  <c r="D56" i="23200"/>
  <c r="N56" i="23200"/>
  <c r="E56" i="23200"/>
  <c r="O56" i="23200"/>
  <c r="F56" i="23200"/>
  <c r="H56" i="23200"/>
  <c r="I56" i="23200"/>
  <c r="C56" i="23200"/>
  <c r="J56" i="23200"/>
  <c r="K56" i="23200"/>
  <c r="G56" i="23200"/>
  <c r="F399" i="23198"/>
  <c r="F404" i="23198"/>
  <c r="F153" i="23198"/>
  <c r="F385" i="23198"/>
  <c r="F344" i="23198"/>
  <c r="F345" i="23198"/>
  <c r="F341" i="23198"/>
  <c r="F329" i="23198"/>
  <c r="P22" i="23184"/>
  <c r="K22" i="23184"/>
  <c r="B33" i="23184"/>
  <c r="G29" i="23199"/>
  <c r="AD71" i="23184"/>
  <c r="AB71" i="23184"/>
  <c r="F350" i="23198"/>
  <c r="F365" i="23198"/>
  <c r="F386" i="23198"/>
  <c r="F376" i="23198"/>
  <c r="F313" i="23198"/>
  <c r="F333" i="23198"/>
  <c r="C59" i="23201"/>
  <c r="AB22" i="23184"/>
  <c r="U22" i="23184"/>
  <c r="F29" i="23199"/>
  <c r="AN71" i="23184"/>
  <c r="F33" i="23201"/>
  <c r="E33" i="23201"/>
  <c r="F222" i="23198"/>
  <c r="CR21" i="23183"/>
  <c r="CX21" i="23183" s="1"/>
  <c r="AU24" i="23183"/>
  <c r="BA24" i="23183" s="1"/>
  <c r="E21" i="23201"/>
  <c r="D21" i="23201" s="1"/>
  <c r="H25" i="23199"/>
  <c r="F228" i="23198"/>
  <c r="AS24" i="23183"/>
  <c r="AY24" i="23183" s="1"/>
  <c r="F34" i="23201"/>
  <c r="E34" i="23201"/>
  <c r="F223" i="23198"/>
  <c r="J38" i="23184"/>
  <c r="AN38" i="23184"/>
  <c r="AJ38" i="23184"/>
  <c r="V38" i="23184"/>
  <c r="AU38" i="23184"/>
  <c r="B37" i="23184"/>
  <c r="AM38" i="23184"/>
  <c r="AI38" i="23184"/>
  <c r="E38" i="23184"/>
  <c r="L38" i="23184"/>
  <c r="AA38" i="23184"/>
  <c r="O38" i="23184"/>
  <c r="AH38" i="23184"/>
  <c r="I38" i="23184"/>
  <c r="AF38" i="23184"/>
  <c r="K38" i="23184"/>
  <c r="F38" i="23184"/>
  <c r="AK38" i="23184"/>
  <c r="AG38" i="23184"/>
  <c r="AP38" i="23184"/>
  <c r="Y38" i="23184"/>
  <c r="M38" i="23184"/>
  <c r="Z38" i="23184"/>
  <c r="AB38" i="23184"/>
  <c r="AS38" i="23184"/>
  <c r="G38" i="23184"/>
  <c r="AC38" i="23184"/>
  <c r="H38" i="23184"/>
  <c r="AL38" i="23184"/>
  <c r="X38" i="23184"/>
  <c r="P38" i="23184"/>
  <c r="R38" i="23184"/>
  <c r="AD38" i="23184"/>
  <c r="S38" i="23184"/>
  <c r="Q38" i="23184"/>
  <c r="T38" i="23184"/>
  <c r="U38" i="23184"/>
  <c r="AE38" i="23184"/>
  <c r="N38" i="23184"/>
  <c r="AO38" i="23184"/>
  <c r="H49" i="23199"/>
  <c r="E49" i="23199"/>
  <c r="C49" i="23199"/>
  <c r="G58" i="23199"/>
  <c r="H58" i="23199"/>
  <c r="F58" i="23199"/>
  <c r="D58" i="23199"/>
  <c r="C58" i="23199"/>
  <c r="E58" i="23199"/>
  <c r="D41" i="23199"/>
  <c r="C41" i="23199"/>
  <c r="E41" i="23199"/>
  <c r="F41" i="23199"/>
  <c r="G41" i="23199"/>
  <c r="H41" i="23199"/>
  <c r="O23" i="23183"/>
  <c r="Q23" i="23183" s="1"/>
  <c r="AG36" i="23184"/>
  <c r="AA36" i="23184"/>
  <c r="G36" i="23184"/>
  <c r="X36" i="23184"/>
  <c r="V36" i="23184"/>
  <c r="AE36" i="23184"/>
  <c r="AC36" i="23184"/>
  <c r="AU36" i="23184"/>
  <c r="AD36" i="23184"/>
  <c r="N36" i="23184"/>
  <c r="AB36" i="23184"/>
  <c r="AL36" i="23184"/>
  <c r="S36" i="23184"/>
  <c r="B35" i="23184"/>
  <c r="H36" i="23184"/>
  <c r="Y36" i="23184"/>
  <c r="AS36" i="23184"/>
  <c r="AK36" i="23184"/>
  <c r="T36" i="23184"/>
  <c r="AM36" i="23184"/>
  <c r="AP36" i="23184"/>
  <c r="Q36" i="23184"/>
  <c r="U36" i="23184"/>
  <c r="M36" i="23184"/>
  <c r="I36" i="23184"/>
  <c r="AH36" i="23184"/>
  <c r="J36" i="23184"/>
  <c r="R36" i="23184"/>
  <c r="AO36" i="23184"/>
  <c r="K36" i="23184"/>
  <c r="AI36" i="23184"/>
  <c r="E36" i="23184"/>
  <c r="Z36" i="23184"/>
  <c r="AN36" i="23184"/>
  <c r="P36" i="23184"/>
  <c r="O36" i="23184"/>
  <c r="AF36" i="23184"/>
  <c r="AJ36" i="23184"/>
  <c r="L36" i="23184"/>
  <c r="F36" i="23184"/>
  <c r="O34" i="23200"/>
  <c r="K34" i="23200"/>
  <c r="C34" i="23200"/>
  <c r="J34" i="23200"/>
  <c r="F65" i="23201"/>
  <c r="E65" i="23201"/>
  <c r="N79" i="23184"/>
  <c r="AL79" i="23184"/>
  <c r="AM79" i="23184"/>
  <c r="AD79" i="23184"/>
  <c r="AO79" i="23184"/>
  <c r="I79" i="23184"/>
  <c r="R79" i="23184"/>
  <c r="B78" i="23184"/>
  <c r="S79" i="23184"/>
  <c r="O79" i="23184"/>
  <c r="Z79" i="23184"/>
  <c r="AN79" i="23184"/>
  <c r="M79" i="23184"/>
  <c r="T79" i="23184"/>
  <c r="AC79" i="23184"/>
  <c r="AU79" i="23184"/>
  <c r="Q79" i="23184"/>
  <c r="AJ79" i="23184"/>
  <c r="AI79" i="23184"/>
  <c r="AB79" i="23184"/>
  <c r="U79" i="23184"/>
  <c r="J79" i="23184"/>
  <c r="AS79" i="23184"/>
  <c r="AK79" i="23184"/>
  <c r="G79" i="23184"/>
  <c r="AA79" i="23184"/>
  <c r="AE79" i="23184"/>
  <c r="H79" i="23184"/>
  <c r="K79" i="23184"/>
  <c r="AG79" i="23184"/>
  <c r="E79" i="23184"/>
  <c r="P79" i="23184"/>
  <c r="AH79" i="23184"/>
  <c r="F79" i="23184"/>
  <c r="AF79" i="23184"/>
  <c r="AP79" i="23184"/>
  <c r="V79" i="23184"/>
  <c r="Y79" i="23184"/>
  <c r="X79" i="23184"/>
  <c r="AI32" i="23184"/>
  <c r="AD32" i="23184"/>
  <c r="G32" i="23184"/>
  <c r="F32" i="23184"/>
  <c r="H32" i="23184"/>
  <c r="AJ32" i="23184"/>
  <c r="Q32" i="23184"/>
  <c r="AA32" i="23184"/>
  <c r="AF32" i="23184"/>
  <c r="I32" i="23184"/>
  <c r="Z32" i="23184"/>
  <c r="AG32" i="23184"/>
  <c r="AH32" i="23184"/>
  <c r="M32" i="23184"/>
  <c r="AU32" i="23184"/>
  <c r="R32" i="23184"/>
  <c r="S32" i="23184"/>
  <c r="AC32" i="23184"/>
  <c r="P32" i="23184"/>
  <c r="V32" i="23184"/>
  <c r="U32" i="23184"/>
  <c r="AM32" i="23184"/>
  <c r="AO32" i="23184"/>
  <c r="AL32" i="23184"/>
  <c r="T32" i="23184"/>
  <c r="AP32" i="23184"/>
  <c r="AS32" i="23184"/>
  <c r="O26" i="23183"/>
  <c r="Q26" i="23183" s="1"/>
  <c r="BN26" i="23183"/>
  <c r="BP26" i="23183" s="1"/>
  <c r="AV48" i="23184"/>
  <c r="AD48" i="23184"/>
  <c r="N48" i="23184"/>
  <c r="Z48" i="23184"/>
  <c r="O48" i="23184"/>
  <c r="G48" i="23184"/>
  <c r="J48" i="23184"/>
  <c r="AG48" i="23184"/>
  <c r="AE48" i="23184"/>
  <c r="I48" i="23184"/>
  <c r="AH48" i="23184"/>
  <c r="AN48" i="23184"/>
  <c r="L48" i="23184"/>
  <c r="K48" i="23184"/>
  <c r="S48" i="23184"/>
  <c r="AI48" i="23184"/>
  <c r="AK48" i="23184"/>
  <c r="Y48" i="23184"/>
  <c r="P48" i="23184"/>
  <c r="T48" i="23184"/>
  <c r="U48" i="23184"/>
  <c r="E48" i="23184"/>
  <c r="B47" i="23184"/>
  <c r="AU48" i="23184"/>
  <c r="H48" i="23184"/>
  <c r="AS48" i="23184"/>
  <c r="AP48" i="23184"/>
  <c r="AC48" i="23184"/>
  <c r="R48" i="23184"/>
  <c r="Q48" i="23184"/>
  <c r="V48" i="23184"/>
  <c r="AB48" i="23184"/>
  <c r="AL48" i="23184"/>
  <c r="AA48" i="23184"/>
  <c r="F48" i="23184"/>
  <c r="X48" i="23184"/>
  <c r="AM48" i="23184"/>
  <c r="AF48" i="23184"/>
  <c r="M48" i="23184"/>
  <c r="AJ48" i="23184"/>
  <c r="AO48" i="23184"/>
  <c r="E70" i="23201"/>
  <c r="F70" i="23201"/>
  <c r="M29" i="23193"/>
  <c r="H23" i="23200"/>
  <c r="K23" i="23200"/>
  <c r="I23" i="23200"/>
  <c r="L23" i="23200"/>
  <c r="J23" i="23200"/>
  <c r="M23" i="23200"/>
  <c r="N23" i="23200"/>
  <c r="O23" i="23200"/>
  <c r="D23" i="23200"/>
  <c r="F23" i="23200"/>
  <c r="C23" i="23200"/>
  <c r="E23" i="23200"/>
  <c r="G23" i="23200"/>
  <c r="F13" i="23200"/>
  <c r="O13" i="23200"/>
  <c r="G13" i="23200"/>
  <c r="K13" i="23200"/>
  <c r="H13" i="23200"/>
  <c r="M13" i="23200"/>
  <c r="I13" i="23200"/>
  <c r="L13" i="23200"/>
  <c r="J13" i="23200"/>
  <c r="D13" i="23200"/>
  <c r="C13" i="23200"/>
  <c r="N13" i="23200"/>
  <c r="E13" i="23200"/>
  <c r="X47" i="23184"/>
  <c r="AE47" i="23184"/>
  <c r="G47" i="23184"/>
  <c r="Y47" i="23184"/>
  <c r="AH47" i="23184"/>
  <c r="AF47" i="23184"/>
  <c r="K47" i="23184"/>
  <c r="AP47" i="23184"/>
  <c r="AN47" i="23184"/>
  <c r="P47" i="23184"/>
  <c r="V47" i="23184"/>
  <c r="AD47" i="23184"/>
  <c r="AO47" i="23184"/>
  <c r="R47" i="23184"/>
  <c r="M47" i="23184"/>
  <c r="AS47" i="23184"/>
  <c r="Q47" i="23184"/>
  <c r="AB47" i="23184"/>
  <c r="E47" i="23184"/>
  <c r="S47" i="23184"/>
  <c r="AK47" i="23184"/>
  <c r="T47" i="23184"/>
  <c r="AA47" i="23184"/>
  <c r="I47" i="23184"/>
  <c r="L47" i="23184"/>
  <c r="F47" i="23184"/>
  <c r="Z47" i="23184"/>
  <c r="AJ47" i="23184"/>
  <c r="U47" i="23184"/>
  <c r="AL47" i="23184"/>
  <c r="N47" i="23184"/>
  <c r="J47" i="23184"/>
  <c r="AG47" i="23184"/>
  <c r="AC47" i="23184"/>
  <c r="B46" i="23184"/>
  <c r="AM47" i="23184"/>
  <c r="AI47" i="23184"/>
  <c r="O47" i="23184"/>
  <c r="AU47" i="23184"/>
  <c r="E22" i="23201"/>
  <c r="D22" i="23201" s="1"/>
  <c r="CR20" i="23183"/>
  <c r="CX20" i="23183" s="1"/>
  <c r="AS26" i="23183"/>
  <c r="AY26" i="23183" s="1"/>
  <c r="AU26" i="23183"/>
  <c r="BA26" i="23183" s="1"/>
  <c r="I71" i="23200"/>
  <c r="D71" i="23200"/>
  <c r="E71" i="23200"/>
  <c r="F71" i="23200"/>
  <c r="M71" i="23200"/>
  <c r="J71" i="23200"/>
  <c r="N71" i="23200"/>
  <c r="O71" i="23200"/>
  <c r="C71" i="23200"/>
  <c r="H71" i="23200"/>
  <c r="AV60" i="23184"/>
  <c r="O60" i="23184"/>
  <c r="N60" i="23184"/>
  <c r="AA60" i="23184"/>
  <c r="AH60" i="23184"/>
  <c r="M60" i="23184"/>
  <c r="AI60" i="23184"/>
  <c r="Z60" i="23184"/>
  <c r="X60" i="23184"/>
  <c r="AJ60" i="23184"/>
  <c r="F60" i="23184"/>
  <c r="AF60" i="23184"/>
  <c r="E60" i="23184"/>
  <c r="AE60" i="23184"/>
  <c r="AB60" i="23184"/>
  <c r="Q60" i="23184"/>
  <c r="AD60" i="23184"/>
  <c r="AG60" i="23184"/>
  <c r="J60" i="23184"/>
  <c r="B59" i="23184"/>
  <c r="R60" i="23184"/>
  <c r="AO60" i="23184"/>
  <c r="Y60" i="23184"/>
  <c r="G60" i="23184"/>
  <c r="V60" i="23184"/>
  <c r="L60" i="23184"/>
  <c r="K60" i="23184"/>
  <c r="AC60" i="23184"/>
  <c r="H60" i="23184"/>
  <c r="AK60" i="23184"/>
  <c r="AL60" i="23184"/>
  <c r="AM60" i="23184"/>
  <c r="I60" i="23184"/>
  <c r="AU60" i="23184"/>
  <c r="S60" i="23184"/>
  <c r="P60" i="23184"/>
  <c r="AS60" i="23184"/>
  <c r="U60" i="23184"/>
  <c r="AN60" i="23184"/>
  <c r="T60" i="23184"/>
  <c r="AP60" i="23184"/>
  <c r="C34" i="23199"/>
  <c r="F34" i="23199"/>
  <c r="G46" i="23199"/>
  <c r="H46" i="23199"/>
  <c r="C46" i="23199"/>
  <c r="D46" i="23199"/>
  <c r="F46" i="23199"/>
  <c r="E46" i="23199"/>
  <c r="T83" i="23184"/>
  <c r="Z83" i="23184"/>
  <c r="E83" i="23184"/>
  <c r="AI83" i="23184"/>
  <c r="AM83" i="23184"/>
  <c r="AF83" i="23184"/>
  <c r="U83" i="23184"/>
  <c r="AL83" i="23184"/>
  <c r="G83" i="23184"/>
  <c r="L83" i="23184"/>
  <c r="AU83" i="23184"/>
  <c r="X83" i="23184"/>
  <c r="V83" i="23184"/>
  <c r="AS83" i="23184"/>
  <c r="Y83" i="23184"/>
  <c r="AE83" i="23184"/>
  <c r="Q83" i="23184"/>
  <c r="AD83" i="23184"/>
  <c r="AP83" i="23184"/>
  <c r="B82" i="23184"/>
  <c r="F83" i="23184"/>
  <c r="P83" i="23184"/>
  <c r="AJ83" i="23184"/>
  <c r="AB83" i="23184"/>
  <c r="M83" i="23184"/>
  <c r="S83" i="23184"/>
  <c r="AO83" i="23184"/>
  <c r="I83" i="23184"/>
  <c r="H83" i="23184"/>
  <c r="K83" i="23184"/>
  <c r="J83" i="23184"/>
  <c r="AH83" i="23184"/>
  <c r="AG83" i="23184"/>
  <c r="N83" i="23184"/>
  <c r="O83" i="23184"/>
  <c r="AK83" i="23184"/>
  <c r="R83" i="23184"/>
  <c r="AC83" i="23184"/>
  <c r="AN83" i="23184"/>
  <c r="H28" i="23200"/>
  <c r="I28" i="23200"/>
  <c r="J28" i="23200"/>
  <c r="K28" i="23200"/>
  <c r="L28" i="23200"/>
  <c r="M28" i="23200"/>
  <c r="D28" i="23200"/>
  <c r="N28" i="23200"/>
  <c r="E28" i="23200"/>
  <c r="G28" i="23200"/>
  <c r="C28" i="23200"/>
  <c r="F28" i="23200"/>
  <c r="O28" i="23200"/>
  <c r="F221" i="23198"/>
  <c r="BN23" i="23183"/>
  <c r="BP23" i="23183" s="1"/>
  <c r="M14" i="23184"/>
  <c r="AM14" i="23184"/>
  <c r="AK14" i="23184"/>
  <c r="E14" i="23184"/>
  <c r="AO14" i="23184"/>
  <c r="AB14" i="23184"/>
  <c r="AG14" i="23184"/>
  <c r="O14" i="23184"/>
  <c r="AL14" i="23184"/>
  <c r="AC14" i="23184"/>
  <c r="Y14" i="23184"/>
  <c r="I14" i="23184"/>
  <c r="X14" i="23184"/>
  <c r="AI14" i="23184"/>
  <c r="AF14" i="23184"/>
  <c r="S14" i="23184"/>
  <c r="U14" i="23184"/>
  <c r="P14" i="23184"/>
  <c r="AH14" i="23184"/>
  <c r="J14" i="23184"/>
  <c r="R14" i="23184"/>
  <c r="Z14" i="23184"/>
  <c r="N14" i="23184"/>
  <c r="L14" i="23184"/>
  <c r="F14" i="23184"/>
  <c r="O18" i="23184"/>
  <c r="AH18" i="23184"/>
  <c r="AL18" i="23184"/>
  <c r="E18" i="23184"/>
  <c r="Y18" i="23184"/>
  <c r="F18" i="23184"/>
  <c r="I18" i="23184"/>
  <c r="N18" i="23184"/>
  <c r="G18" i="23184"/>
  <c r="L18" i="23184"/>
  <c r="AO18" i="23184"/>
  <c r="Z18" i="23184"/>
  <c r="AF18" i="23184"/>
  <c r="K18" i="23184"/>
  <c r="AC18" i="23184"/>
  <c r="AB18" i="23184"/>
  <c r="AE18" i="23184"/>
  <c r="AG18" i="23184"/>
  <c r="S18" i="23184"/>
  <c r="AD18" i="23184"/>
  <c r="R18" i="23184"/>
  <c r="J18" i="23184"/>
  <c r="X18" i="23184"/>
  <c r="AM18" i="23184"/>
  <c r="U18" i="23184"/>
  <c r="AI18" i="23184"/>
  <c r="P18" i="23184"/>
  <c r="M18" i="23184"/>
  <c r="AK18" i="23184"/>
  <c r="F29" i="23201"/>
  <c r="C29" i="23201" s="1"/>
  <c r="E29" i="23201"/>
  <c r="D29" i="23201"/>
  <c r="AL30" i="23184"/>
  <c r="AP30" i="23184"/>
  <c r="N30" i="23184"/>
  <c r="L30" i="23184"/>
  <c r="R30" i="23184"/>
  <c r="F224" i="23198"/>
  <c r="I26" i="23184"/>
  <c r="AB26" i="23184"/>
  <c r="E26" i="23184"/>
  <c r="L26" i="23184"/>
  <c r="Q26" i="23184"/>
  <c r="AD26" i="23184"/>
  <c r="F26" i="23184"/>
  <c r="H26" i="23184"/>
  <c r="K26" i="23184"/>
  <c r="P26" i="23184"/>
  <c r="AF26" i="23184"/>
  <c r="J26" i="23184"/>
  <c r="AC26" i="23184"/>
  <c r="Z26" i="23184"/>
  <c r="AJ26" i="23184"/>
  <c r="AH26" i="23184"/>
  <c r="AA26" i="23184"/>
  <c r="AG26" i="23184"/>
  <c r="AE26" i="23184"/>
  <c r="AS26" i="23184"/>
  <c r="B25" i="23184"/>
  <c r="V26" i="23184"/>
  <c r="R26" i="23184"/>
  <c r="G26" i="23184"/>
  <c r="Y26" i="23184"/>
  <c r="AI26" i="23184"/>
  <c r="N26" i="23184"/>
  <c r="T26" i="23184"/>
  <c r="AO26" i="23184"/>
  <c r="AM26" i="23184"/>
  <c r="AL26" i="23184"/>
  <c r="AN26" i="23184"/>
  <c r="AU26" i="23184"/>
  <c r="O26" i="23184"/>
  <c r="S26" i="23184"/>
  <c r="X26" i="23184"/>
  <c r="M26" i="23184"/>
  <c r="AK26" i="23184"/>
  <c r="U26" i="23184"/>
  <c r="F70" i="23199"/>
  <c r="G70" i="23199"/>
  <c r="D70" i="23199"/>
  <c r="H70" i="23199"/>
  <c r="E70" i="23199"/>
  <c r="C70" i="23199"/>
  <c r="T41" i="23184"/>
  <c r="P41" i="23184"/>
  <c r="B40" i="23184"/>
  <c r="Y41" i="23184"/>
  <c r="AO41" i="23184"/>
  <c r="U41" i="23184"/>
  <c r="AD41" i="23184"/>
  <c r="Z41" i="23184"/>
  <c r="AH41" i="23184"/>
  <c r="S41" i="23184"/>
  <c r="AJ41" i="23184"/>
  <c r="Q41" i="23184"/>
  <c r="J41" i="23184"/>
  <c r="L41" i="23184"/>
  <c r="V41" i="23184"/>
  <c r="AN41" i="23184"/>
  <c r="AE41" i="23184"/>
  <c r="N41" i="23184"/>
  <c r="E41" i="23184"/>
  <c r="AI41" i="23184"/>
  <c r="AM41" i="23184"/>
  <c r="G41" i="23184"/>
  <c r="AB41" i="23184"/>
  <c r="AK41" i="23184"/>
  <c r="AP41" i="23184"/>
  <c r="AA41" i="23184"/>
  <c r="AG41" i="23184"/>
  <c r="AF41" i="23184"/>
  <c r="AU41" i="23184"/>
  <c r="F41" i="23184"/>
  <c r="AC41" i="23184"/>
  <c r="H41" i="23184"/>
  <c r="O41" i="23184"/>
  <c r="X41" i="23184"/>
  <c r="AL41" i="23184"/>
  <c r="I41" i="23184"/>
  <c r="K41" i="23184"/>
  <c r="R41" i="23184"/>
  <c r="AS41" i="23184"/>
  <c r="AV42" i="23184"/>
  <c r="AO42" i="23184"/>
  <c r="AK42" i="23184"/>
  <c r="F42" i="23184"/>
  <c r="AN42" i="23184"/>
  <c r="AU42" i="23184"/>
  <c r="AS42" i="23184"/>
  <c r="I42" i="23184"/>
  <c r="U42" i="23184"/>
  <c r="AM42" i="23184"/>
  <c r="AL42" i="23184"/>
  <c r="AP42" i="23184"/>
  <c r="K42" i="23184"/>
  <c r="N42" i="23184"/>
  <c r="D65" i="23199"/>
  <c r="C65" i="23199"/>
  <c r="E65" i="23199"/>
  <c r="F65" i="23199"/>
  <c r="G65" i="23199"/>
  <c r="H65" i="23199"/>
  <c r="P17" i="23184"/>
  <c r="U17" i="23184"/>
  <c r="X17" i="23184"/>
  <c r="K17" i="23184"/>
  <c r="O17" i="23184"/>
  <c r="AM17" i="23184"/>
  <c r="Y17" i="23184"/>
  <c r="AE17" i="23184"/>
  <c r="AB17" i="23184"/>
  <c r="AI17" i="23184"/>
  <c r="S17" i="23184"/>
  <c r="AF17" i="23184"/>
  <c r="AC17" i="23184"/>
  <c r="J17" i="23184"/>
  <c r="G17" i="23184"/>
  <c r="AK17" i="23184"/>
  <c r="AD17" i="23184"/>
  <c r="N17" i="23184"/>
  <c r="F17" i="23184"/>
  <c r="AL17" i="23184"/>
  <c r="Z17" i="23184"/>
  <c r="I17" i="23184"/>
  <c r="B16" i="23184"/>
  <c r="L17" i="23184"/>
  <c r="AO17" i="23184"/>
  <c r="M17" i="23184"/>
  <c r="E17" i="23184"/>
  <c r="AH17" i="23184"/>
  <c r="AG17" i="23184"/>
  <c r="J38" i="23210"/>
  <c r="J39" i="23210" s="1"/>
  <c r="B12" i="23199"/>
  <c r="E12" i="23199" s="1"/>
  <c r="D12" i="23206" s="1"/>
  <c r="BQ17" i="23183"/>
  <c r="CD17" i="23183"/>
  <c r="CK17" i="23183"/>
  <c r="BG17" i="23183"/>
  <c r="Y17" i="23183"/>
  <c r="AM17" i="23183"/>
  <c r="F17" i="23183"/>
  <c r="BU17" i="23183"/>
  <c r="BO17" i="23183"/>
  <c r="S17" i="23183"/>
  <c r="C17" i="23183"/>
  <c r="AG17" i="23183"/>
  <c r="CQ17" i="23183"/>
  <c r="CE17" i="23183"/>
  <c r="AC17" i="23183"/>
  <c r="BS17" i="23183"/>
  <c r="CO17" i="23183"/>
  <c r="E17" i="23183"/>
  <c r="CI17" i="23183"/>
  <c r="BE17" i="23183"/>
  <c r="AB17" i="23183"/>
  <c r="H17" i="23183"/>
  <c r="BW17" i="23183"/>
  <c r="AK17" i="23183"/>
  <c r="CW17" i="23183"/>
  <c r="BR17" i="23183"/>
  <c r="BY17" i="23183"/>
  <c r="BD17" i="23183"/>
  <c r="AQ17" i="23183"/>
  <c r="AA17" i="23183"/>
  <c r="D17" i="23183"/>
  <c r="CB17" i="23183"/>
  <c r="AV17" i="23183"/>
  <c r="AI17" i="23183"/>
  <c r="BX17" i="23183"/>
  <c r="CJ17" i="23183"/>
  <c r="K17" i="23183"/>
  <c r="BL17" i="23183"/>
  <c r="AR17" i="23183"/>
  <c r="J17" i="23183"/>
  <c r="BV17" i="23183"/>
  <c r="BZ17" i="23183"/>
  <c r="BM17" i="23183"/>
  <c r="AF17" i="23183"/>
  <c r="AN17" i="23183"/>
  <c r="I17" i="23183"/>
  <c r="T17" i="23183"/>
  <c r="CG17" i="23183"/>
  <c r="CN17" i="23183"/>
  <c r="C13" i="23184"/>
  <c r="BC17" i="23183"/>
  <c r="AE17" i="23183"/>
  <c r="AX17" i="23183"/>
  <c r="P17" i="23183"/>
  <c r="CU17" i="23183"/>
  <c r="BH17" i="23183"/>
  <c r="AL17" i="23183"/>
  <c r="W17" i="23183"/>
  <c r="N17" i="23183"/>
  <c r="CV17" i="23183"/>
  <c r="BK17" i="23183"/>
  <c r="AD17" i="23183"/>
  <c r="V17" i="23183"/>
  <c r="CL17" i="23183"/>
  <c r="R17" i="23183"/>
  <c r="B12" i="23200"/>
  <c r="CF17" i="23183"/>
  <c r="CM17" i="23183"/>
  <c r="BI17" i="23183"/>
  <c r="U17" i="23183"/>
  <c r="Z17" i="23183"/>
  <c r="X17" i="23183"/>
  <c r="M17" i="23183"/>
  <c r="B12" i="23201"/>
  <c r="BT17" i="23183"/>
  <c r="CA17" i="23183"/>
  <c r="BJ17" i="23183"/>
  <c r="AP17" i="23183"/>
  <c r="AJ17" i="23183"/>
  <c r="AH17" i="23183"/>
  <c r="L17" i="23183"/>
  <c r="AO17" i="23183"/>
  <c r="CH17" i="23183"/>
  <c r="CC17" i="23183"/>
  <c r="CP17" i="23183"/>
  <c r="BF17" i="23183"/>
  <c r="AW17" i="23183"/>
  <c r="G17" i="23183"/>
  <c r="K3" i="23206"/>
  <c r="G4" i="23201"/>
  <c r="H4" i="23197"/>
  <c r="J4" i="39"/>
  <c r="K3" i="23202"/>
  <c r="H4" i="23199"/>
  <c r="J4" i="23200" s="1"/>
  <c r="I4" i="23205"/>
  <c r="F4" i="23198"/>
  <c r="H56" i="23204"/>
  <c r="Q65" i="23204"/>
  <c r="G45" i="23184"/>
  <c r="E23" i="23201"/>
  <c r="D73" i="23198"/>
  <c r="I63" i="23200"/>
  <c r="E63" i="23201"/>
  <c r="F63" i="23201"/>
  <c r="C63" i="23201" s="1"/>
  <c r="E31" i="23201"/>
  <c r="F31" i="23201"/>
  <c r="E30" i="23200"/>
  <c r="F30" i="23200"/>
  <c r="G30" i="23200"/>
  <c r="I30" i="23200"/>
  <c r="J30" i="23200"/>
  <c r="C30" i="23200"/>
  <c r="K30" i="23200"/>
  <c r="L30" i="23200"/>
  <c r="M30" i="23200"/>
  <c r="D30" i="23200"/>
  <c r="N30" i="23200"/>
  <c r="O30" i="23200"/>
  <c r="H30" i="23200"/>
  <c r="F69" i="23199"/>
  <c r="E69" i="23199"/>
  <c r="C69" i="23199"/>
  <c r="G69" i="23199"/>
  <c r="H69" i="23199"/>
  <c r="D69" i="23199"/>
  <c r="Z59" i="23209"/>
  <c r="Y45" i="23184"/>
  <c r="AA50" i="23184"/>
  <c r="D62" i="23198"/>
  <c r="K18" i="23200"/>
  <c r="L63" i="23200"/>
  <c r="J71" i="23184"/>
  <c r="AV71" i="23184"/>
  <c r="D16" i="23200"/>
  <c r="G16" i="23200"/>
  <c r="E16" i="23200"/>
  <c r="H16" i="23200"/>
  <c r="F16" i="23200"/>
  <c r="I16" i="23200"/>
  <c r="M16" i="23200"/>
  <c r="N16" i="23200"/>
  <c r="O16" i="23200"/>
  <c r="J16" i="23200"/>
  <c r="K16" i="23200"/>
  <c r="C16" i="23200"/>
  <c r="L16" i="23200"/>
  <c r="AU44" i="23184"/>
  <c r="AV44" i="23184"/>
  <c r="AE44" i="23184"/>
  <c r="R44" i="23184"/>
  <c r="X44" i="23184"/>
  <c r="M44" i="23184"/>
  <c r="AK44" i="23184"/>
  <c r="E44" i="23184"/>
  <c r="AI44" i="23184"/>
  <c r="AG44" i="23184"/>
  <c r="AL44" i="23184"/>
  <c r="V44" i="23184"/>
  <c r="K44" i="23184"/>
  <c r="AP44" i="23184"/>
  <c r="AB44" i="23184"/>
  <c r="P44" i="23184"/>
  <c r="N44" i="23184"/>
  <c r="AD44" i="23184"/>
  <c r="B43" i="23184"/>
  <c r="AA44" i="23184"/>
  <c r="O44" i="23184"/>
  <c r="Q44" i="23184"/>
  <c r="AJ44" i="23184"/>
  <c r="Y44" i="23184"/>
  <c r="U44" i="23184"/>
  <c r="Z44" i="23184"/>
  <c r="H44" i="23184"/>
  <c r="AF44" i="23184"/>
  <c r="AO44" i="23184"/>
  <c r="S44" i="23184"/>
  <c r="AC44" i="23184"/>
  <c r="L44" i="23184"/>
  <c r="AH44" i="23184"/>
  <c r="T44" i="23184"/>
  <c r="J44" i="23184"/>
  <c r="F44" i="23184"/>
  <c r="AM44" i="23184"/>
  <c r="AS44" i="23184"/>
  <c r="I44" i="23184"/>
  <c r="AN44" i="23184"/>
  <c r="G44" i="23184"/>
  <c r="R55" i="23184"/>
  <c r="AV55" i="23184"/>
  <c r="G55" i="23184"/>
  <c r="AS55" i="23184"/>
  <c r="Z55" i="23184"/>
  <c r="AC55" i="23184"/>
  <c r="AP55" i="23184"/>
  <c r="AK55" i="23184"/>
  <c r="N55" i="23184"/>
  <c r="H55" i="23184"/>
  <c r="Q55" i="23184"/>
  <c r="E55" i="23184"/>
  <c r="F55" i="23184"/>
  <c r="I55" i="23184"/>
  <c r="Y55" i="23184"/>
  <c r="AI55" i="23184"/>
  <c r="K55" i="23184"/>
  <c r="T55" i="23184"/>
  <c r="AL55" i="23184"/>
  <c r="B54" i="23184"/>
  <c r="AU55" i="23184"/>
  <c r="AO55" i="23184"/>
  <c r="U55" i="23184"/>
  <c r="J55" i="23184"/>
  <c r="M55" i="23184"/>
  <c r="AJ55" i="23184"/>
  <c r="AG55" i="23184"/>
  <c r="P55" i="23184"/>
  <c r="O55" i="23184"/>
  <c r="S55" i="23184"/>
  <c r="AH55" i="23184"/>
  <c r="AA55" i="23184"/>
  <c r="V55" i="23184"/>
  <c r="AD55" i="23184"/>
  <c r="AB55" i="23184"/>
  <c r="AM55" i="23184"/>
  <c r="X55" i="23184"/>
  <c r="AN55" i="23184"/>
  <c r="AE55" i="23184"/>
  <c r="AF55" i="23184"/>
  <c r="L55" i="23184"/>
  <c r="E19" i="23201"/>
  <c r="D19" i="23201" s="1"/>
  <c r="F33" i="23199"/>
  <c r="G33" i="23199"/>
  <c r="H33" i="23199"/>
  <c r="D33" i="23199"/>
  <c r="C33" i="23199"/>
  <c r="E33" i="23199"/>
  <c r="G57" i="23199"/>
  <c r="H57" i="23199"/>
  <c r="D57" i="23199"/>
  <c r="C57" i="23199"/>
  <c r="E57" i="23199"/>
  <c r="F57" i="23199"/>
  <c r="H63" i="23199"/>
  <c r="D63" i="23199"/>
  <c r="F63" i="23199"/>
  <c r="C63" i="23199"/>
  <c r="E63" i="23199"/>
  <c r="G63" i="23199"/>
  <c r="G31" i="23199"/>
  <c r="D31" i="23199"/>
  <c r="H31" i="23199"/>
  <c r="C31" i="23199"/>
  <c r="E31" i="23199"/>
  <c r="F31" i="23199"/>
  <c r="D54" i="23200"/>
  <c r="L54" i="23200"/>
  <c r="E54" i="23200"/>
  <c r="M54" i="23200"/>
  <c r="F54" i="23200"/>
  <c r="N54" i="23200"/>
  <c r="K54" i="23200"/>
  <c r="O54" i="23200"/>
  <c r="I54" i="23200"/>
  <c r="J54" i="23200"/>
  <c r="G54" i="23200"/>
  <c r="H54" i="23200"/>
  <c r="C54" i="23200"/>
  <c r="P45" i="23184"/>
  <c r="CS28" i="23183"/>
  <c r="CY28" i="23183" s="1"/>
  <c r="G63" i="23200"/>
  <c r="D66" i="23199"/>
  <c r="C66" i="23199"/>
  <c r="E66" i="23199"/>
  <c r="F66" i="23199"/>
  <c r="G66" i="23199"/>
  <c r="H66" i="23199"/>
  <c r="U59" i="23209"/>
  <c r="J59" i="23209"/>
  <c r="X45" i="23184"/>
  <c r="D75" i="23198"/>
  <c r="CS27" i="23183"/>
  <c r="CY27" i="23183" s="1"/>
  <c r="M44" i="23193"/>
  <c r="I55" i="23204"/>
  <c r="D59" i="23198"/>
  <c r="D18" i="23200"/>
  <c r="O69" i="23200"/>
  <c r="N63" i="23200"/>
  <c r="D63" i="23200"/>
  <c r="AC52" i="23184"/>
  <c r="AV52" i="23184"/>
  <c r="N52" i="23184"/>
  <c r="I52" i="23184"/>
  <c r="Z52" i="23184"/>
  <c r="S52" i="23184"/>
  <c r="AO52" i="23184"/>
  <c r="AF52" i="23184"/>
  <c r="F52" i="23184"/>
  <c r="AG52" i="23184"/>
  <c r="T52" i="23184"/>
  <c r="AP52" i="23184"/>
  <c r="L52" i="23184"/>
  <c r="O52" i="23184"/>
  <c r="K52" i="23184"/>
  <c r="AH52" i="23184"/>
  <c r="Q52" i="23184"/>
  <c r="AB52" i="23184"/>
  <c r="U52" i="23184"/>
  <c r="AN52" i="23184"/>
  <c r="AJ52" i="23184"/>
  <c r="AM52" i="23184"/>
  <c r="B51" i="23184"/>
  <c r="X52" i="23184"/>
  <c r="G52" i="23184"/>
  <c r="J52" i="23184"/>
  <c r="P52" i="23184"/>
  <c r="AU52" i="23184"/>
  <c r="E52" i="23184"/>
  <c r="AK52" i="23184"/>
  <c r="M52" i="23184"/>
  <c r="AA52" i="23184"/>
  <c r="H52" i="23184"/>
  <c r="V52" i="23184"/>
  <c r="AD52" i="23184"/>
  <c r="Y52" i="23184"/>
  <c r="AL52" i="23184"/>
  <c r="AS52" i="23184"/>
  <c r="AI52" i="23184"/>
  <c r="R52" i="23184"/>
  <c r="AE52" i="23184"/>
  <c r="N31" i="23200"/>
  <c r="J31" i="23200"/>
  <c r="D31" i="23200"/>
  <c r="E31" i="23200"/>
  <c r="O31" i="23200"/>
  <c r="L31" i="23200"/>
  <c r="C31" i="23200"/>
  <c r="F31" i="23200"/>
  <c r="M31" i="23200"/>
  <c r="I31" i="23200"/>
  <c r="K31" i="23200"/>
  <c r="G31" i="23200"/>
  <c r="H31" i="23200"/>
  <c r="E43" i="23200"/>
  <c r="I43" i="23200"/>
  <c r="L43" i="23200"/>
  <c r="K43" i="23200"/>
  <c r="M43" i="23200"/>
  <c r="F43" i="23200"/>
  <c r="O43" i="23200"/>
  <c r="C43" i="23200"/>
  <c r="G43" i="23200"/>
  <c r="H43" i="23200"/>
  <c r="J43" i="23200"/>
  <c r="D43" i="23200"/>
  <c r="N43" i="23200"/>
  <c r="D55" i="23199"/>
  <c r="E55" i="23199"/>
  <c r="M21" i="23200"/>
  <c r="D21" i="23200"/>
  <c r="O21" i="23200"/>
  <c r="E21" i="23200"/>
  <c r="N21" i="23200"/>
  <c r="H21" i="23200"/>
  <c r="G21" i="23200"/>
  <c r="F21" i="23200"/>
  <c r="I21" i="23200"/>
  <c r="K21" i="23200"/>
  <c r="L21" i="23200"/>
  <c r="J21" i="23200"/>
  <c r="C21" i="23200"/>
  <c r="AK46" i="23184"/>
  <c r="AV46" i="23184"/>
  <c r="S46" i="23184"/>
  <c r="AM46" i="23184"/>
  <c r="AS46" i="23184"/>
  <c r="P46" i="23184"/>
  <c r="I46" i="23184"/>
  <c r="F46" i="23184"/>
  <c r="AE46" i="23184"/>
  <c r="AF46" i="23184"/>
  <c r="J46" i="23184"/>
  <c r="G46" i="23184"/>
  <c r="AL46" i="23184"/>
  <c r="Y46" i="23184"/>
  <c r="B45" i="23184"/>
  <c r="U46" i="23184"/>
  <c r="T46" i="23184"/>
  <c r="AN46" i="23184"/>
  <c r="V46" i="23184"/>
  <c r="Z46" i="23184"/>
  <c r="AH46" i="23184"/>
  <c r="L46" i="23184"/>
  <c r="M46" i="23184"/>
  <c r="AB46" i="23184"/>
  <c r="AP46" i="23184"/>
  <c r="AD46" i="23184"/>
  <c r="AA46" i="23184"/>
  <c r="AG46" i="23184"/>
  <c r="K46" i="23184"/>
  <c r="Q46" i="23184"/>
  <c r="AJ46" i="23184"/>
  <c r="H46" i="23184"/>
  <c r="AO46" i="23184"/>
  <c r="N46" i="23184"/>
  <c r="AI46" i="23184"/>
  <c r="AU46" i="23184"/>
  <c r="R46" i="23184"/>
  <c r="O46" i="23184"/>
  <c r="AC46" i="23184"/>
  <c r="X46" i="23184"/>
  <c r="E46" i="23184"/>
  <c r="AI45" i="23184"/>
  <c r="AA45" i="23184"/>
  <c r="C22" i="23199"/>
  <c r="D22" i="23199" s="1"/>
  <c r="D21" i="23199" s="1"/>
  <c r="D20" i="23199" s="1"/>
  <c r="F67" i="23199"/>
  <c r="G67" i="23199"/>
  <c r="H67" i="23199"/>
  <c r="C67" i="23199"/>
  <c r="D67" i="23199"/>
  <c r="E67" i="23199"/>
  <c r="F33" i="23200"/>
  <c r="O33" i="23200"/>
  <c r="G33" i="23200"/>
  <c r="H33" i="23200"/>
  <c r="E33" i="23200"/>
  <c r="J33" i="23200"/>
  <c r="C33" i="23200"/>
  <c r="I33" i="23200"/>
  <c r="K33" i="23200"/>
  <c r="L33" i="23200"/>
  <c r="N33" i="23200"/>
  <c r="D33" i="23200"/>
  <c r="M33" i="23200"/>
  <c r="V59" i="23209"/>
  <c r="F66" i="23201"/>
  <c r="C66" i="23201" s="1"/>
  <c r="AG45" i="23184"/>
  <c r="AE45" i="23184"/>
  <c r="O45" i="23184"/>
  <c r="D77" i="23198"/>
  <c r="E30" i="23201"/>
  <c r="D74" i="23198"/>
  <c r="CT20" i="23183"/>
  <c r="CZ20" i="23183" s="1"/>
  <c r="D65" i="23198"/>
  <c r="J18" i="23200"/>
  <c r="N69" i="23200"/>
  <c r="F50" i="23201"/>
  <c r="E50" i="23201"/>
  <c r="F38" i="23201"/>
  <c r="D38" i="23201" s="1"/>
  <c r="E38" i="23201"/>
  <c r="S34" i="23184"/>
  <c r="AV34" i="23184"/>
  <c r="P34" i="23184"/>
  <c r="AF34" i="23184"/>
  <c r="N34" i="23184"/>
  <c r="AG34" i="23184"/>
  <c r="Q34" i="23184"/>
  <c r="J34" i="23184"/>
  <c r="K34" i="23184"/>
  <c r="H34" i="23184"/>
  <c r="AH34" i="23184"/>
  <c r="E34" i="23184"/>
  <c r="G34" i="23184"/>
  <c r="AE34" i="23184"/>
  <c r="F34" i="23184"/>
  <c r="AN34" i="23184"/>
  <c r="U34" i="23184"/>
  <c r="X34" i="23184"/>
  <c r="AA34" i="23184"/>
  <c r="Y34" i="23184"/>
  <c r="Z34" i="23184"/>
  <c r="AK34" i="23184"/>
  <c r="T34" i="23184"/>
  <c r="M34" i="23184"/>
  <c r="AB34" i="23184"/>
  <c r="AU34" i="23184"/>
  <c r="AJ34" i="23184"/>
  <c r="AL34" i="23184"/>
  <c r="R34" i="23184"/>
  <c r="AO34" i="23184"/>
  <c r="AP34" i="23184"/>
  <c r="AM34" i="23184"/>
  <c r="I34" i="23184"/>
  <c r="AS34" i="23184"/>
  <c r="F69" i="23201"/>
  <c r="E69" i="23201"/>
  <c r="D64" i="23198"/>
  <c r="K59" i="23209"/>
  <c r="Y59" i="23209"/>
  <c r="I45" i="23184"/>
  <c r="V45" i="23184"/>
  <c r="Q56" i="23184"/>
  <c r="C18" i="23200"/>
  <c r="O18" i="23200"/>
  <c r="L69" i="23200"/>
  <c r="C63" i="23200"/>
  <c r="M18" i="23200"/>
  <c r="F16" i="23201"/>
  <c r="D16" i="23201" s="1"/>
  <c r="F67" i="23201"/>
  <c r="E67" i="23201"/>
  <c r="F62" i="23201"/>
  <c r="E62" i="23201"/>
  <c r="AE22" i="23184"/>
  <c r="H45" i="23200"/>
  <c r="C45" i="23200"/>
  <c r="G45" i="23200"/>
  <c r="N45" i="23200"/>
  <c r="O45" i="23200"/>
  <c r="K57" i="23200"/>
  <c r="M57" i="23200"/>
  <c r="D57" i="23200"/>
  <c r="L57" i="23200"/>
  <c r="I57" i="23200"/>
  <c r="C57" i="23200"/>
  <c r="G57" i="23200"/>
  <c r="J57" i="23200"/>
  <c r="E57" i="23200"/>
  <c r="F57" i="23200"/>
  <c r="N57" i="23200"/>
  <c r="H57" i="23200"/>
  <c r="O57" i="23200"/>
  <c r="T58" i="23184"/>
  <c r="AV58" i="23184"/>
  <c r="X58" i="23184"/>
  <c r="AA58" i="23184"/>
  <c r="AH58" i="23184"/>
  <c r="Z58" i="23184"/>
  <c r="E58" i="23184"/>
  <c r="AM58" i="23184"/>
  <c r="AP58" i="23184"/>
  <c r="S58" i="23184"/>
  <c r="K58" i="23184"/>
  <c r="AC58" i="23184"/>
  <c r="U58" i="23184"/>
  <c r="AU58" i="23184"/>
  <c r="J58" i="23184"/>
  <c r="AE58" i="23184"/>
  <c r="R58" i="23184"/>
  <c r="O58" i="23184"/>
  <c r="Q58" i="23184"/>
  <c r="Y58" i="23184"/>
  <c r="AO58" i="23184"/>
  <c r="I58" i="23184"/>
  <c r="AG58" i="23184"/>
  <c r="L58" i="23184"/>
  <c r="M58" i="23184"/>
  <c r="V58" i="23184"/>
  <c r="AJ58" i="23184"/>
  <c r="P58" i="23184"/>
  <c r="AF58" i="23184"/>
  <c r="AL58" i="23184"/>
  <c r="AS58" i="23184"/>
  <c r="F58" i="23184"/>
  <c r="AD58" i="23184"/>
  <c r="H58" i="23184"/>
  <c r="N58" i="23184"/>
  <c r="AN58" i="23184"/>
  <c r="AI58" i="23184"/>
  <c r="AB58" i="23184"/>
  <c r="AK58" i="23184"/>
  <c r="G58" i="23184"/>
  <c r="B57" i="23184"/>
  <c r="O20" i="23184"/>
  <c r="AD20" i="23184"/>
  <c r="F20" i="23184"/>
  <c r="J20" i="23184"/>
  <c r="AF20" i="23184"/>
  <c r="P20" i="23184"/>
  <c r="N20" i="23184"/>
  <c r="AG20" i="23184"/>
  <c r="U20" i="23184"/>
  <c r="I20" i="23184"/>
  <c r="AO20" i="23184"/>
  <c r="E20" i="23184"/>
  <c r="X20" i="23184"/>
  <c r="R20" i="23184"/>
  <c r="AI20" i="23184"/>
  <c r="AL20" i="23184"/>
  <c r="AM20" i="23184"/>
  <c r="AB20" i="23184"/>
  <c r="S20" i="23184"/>
  <c r="AK20" i="23184"/>
  <c r="L20" i="23184"/>
  <c r="AC20" i="23184"/>
  <c r="Z20" i="23184"/>
  <c r="K20" i="23184"/>
  <c r="AE20" i="23184"/>
  <c r="B19" i="23184"/>
  <c r="Y20" i="23184"/>
  <c r="AH20" i="23184"/>
  <c r="M20" i="23184"/>
  <c r="G20" i="23184"/>
  <c r="F43" i="23201"/>
  <c r="E43" i="23201"/>
  <c r="W59" i="23209"/>
  <c r="H45" i="23184"/>
  <c r="AH45" i="23184"/>
  <c r="N45" i="23184"/>
  <c r="Y56" i="23184"/>
  <c r="D61" i="23198"/>
  <c r="N18" i="23200"/>
  <c r="G18" i="23200"/>
  <c r="F28" i="23184"/>
  <c r="AV28" i="23184"/>
  <c r="L28" i="23184"/>
  <c r="T28" i="23184"/>
  <c r="AD28" i="23184"/>
  <c r="AB28" i="23184"/>
  <c r="AE28" i="23184"/>
  <c r="E28" i="23184"/>
  <c r="AU28" i="23184"/>
  <c r="AS28" i="23184"/>
  <c r="U28" i="23184"/>
  <c r="X28" i="23184"/>
  <c r="AI28" i="23184"/>
  <c r="AO28" i="23184"/>
  <c r="B27" i="23184"/>
  <c r="AG28" i="23184"/>
  <c r="J28" i="23184"/>
  <c r="P28" i="23184"/>
  <c r="Q28" i="23184"/>
  <c r="AJ28" i="23184"/>
  <c r="AM28" i="23184"/>
  <c r="G28" i="23184"/>
  <c r="AF28" i="23184"/>
  <c r="K28" i="23184"/>
  <c r="R28" i="23184"/>
  <c r="AP28" i="23184"/>
  <c r="AK28" i="23184"/>
  <c r="V28" i="23184"/>
  <c r="AC28" i="23184"/>
  <c r="I28" i="23184"/>
  <c r="AA28" i="23184"/>
  <c r="AH28" i="23184"/>
  <c r="AL28" i="23184"/>
  <c r="N28" i="23184"/>
  <c r="Y28" i="23184"/>
  <c r="M28" i="23184"/>
  <c r="S28" i="23184"/>
  <c r="Z28" i="23184"/>
  <c r="H28" i="23184"/>
  <c r="O28" i="23184"/>
  <c r="AN28" i="23184"/>
  <c r="AE76" i="23184"/>
  <c r="AV76" i="23184"/>
  <c r="AA76" i="23184"/>
  <c r="AJ76" i="23184"/>
  <c r="AF76" i="23184"/>
  <c r="T76" i="23184"/>
  <c r="AO76" i="23184"/>
  <c r="AN76" i="23184"/>
  <c r="I76" i="23184"/>
  <c r="AD76" i="23184"/>
  <c r="Z76" i="23184"/>
  <c r="U76" i="23184"/>
  <c r="AP76" i="23184"/>
  <c r="AH76" i="23184"/>
  <c r="L76" i="23184"/>
  <c r="AM76" i="23184"/>
  <c r="AC76" i="23184"/>
  <c r="J76" i="23184"/>
  <c r="Q76" i="23184"/>
  <c r="P76" i="23184"/>
  <c r="F76" i="23184"/>
  <c r="AI76" i="23184"/>
  <c r="V76" i="23184"/>
  <c r="B75" i="23184"/>
  <c r="M76" i="23184"/>
  <c r="N76" i="23184"/>
  <c r="K76" i="23184"/>
  <c r="AK76" i="23184"/>
  <c r="AG76" i="23184"/>
  <c r="AB76" i="23184"/>
  <c r="O76" i="23184"/>
  <c r="Y76" i="23184"/>
  <c r="AL76" i="23184"/>
  <c r="G76" i="23184"/>
  <c r="R76" i="23184"/>
  <c r="AU76" i="23184"/>
  <c r="H76" i="23184"/>
  <c r="E76" i="23184"/>
  <c r="S76" i="23184"/>
  <c r="X76" i="23184"/>
  <c r="AS76" i="23184"/>
  <c r="H43" i="23199"/>
  <c r="G43" i="23199"/>
  <c r="F43" i="23199"/>
  <c r="E43" i="23199"/>
  <c r="D43" i="23199"/>
  <c r="C43" i="23199"/>
  <c r="AL19" i="23184"/>
  <c r="F19" i="23184"/>
  <c r="Z19" i="23184"/>
  <c r="X19" i="23184"/>
  <c r="AG19" i="23184"/>
  <c r="Y19" i="23184"/>
  <c r="AI19" i="23184"/>
  <c r="AF19" i="23184"/>
  <c r="K19" i="23184"/>
  <c r="E19" i="23184"/>
  <c r="J19" i="23184"/>
  <c r="P19" i="23184"/>
  <c r="N19" i="23184"/>
  <c r="AH19" i="23184"/>
  <c r="AB19" i="23184"/>
  <c r="AO19" i="23184"/>
  <c r="AC19" i="23184"/>
  <c r="U19" i="23184"/>
  <c r="AE19" i="23184"/>
  <c r="AM19" i="23184"/>
  <c r="R19" i="23184"/>
  <c r="AD19" i="23184"/>
  <c r="M19" i="23184"/>
  <c r="S19" i="23184"/>
  <c r="O19" i="23184"/>
  <c r="G19" i="23184"/>
  <c r="AK19" i="23184"/>
  <c r="L19" i="23184"/>
  <c r="B18" i="23184"/>
  <c r="I19" i="23184"/>
  <c r="AV43" i="23184"/>
  <c r="AI43" i="23184"/>
  <c r="M43" i="23184"/>
  <c r="F43" i="23184"/>
  <c r="Q43" i="23184"/>
  <c r="U43" i="23184"/>
  <c r="AM43" i="23184"/>
  <c r="T43" i="23184"/>
  <c r="S43" i="23184"/>
  <c r="AN43" i="23184"/>
  <c r="AK43" i="23184"/>
  <c r="AO43" i="23184"/>
  <c r="AL43" i="23184"/>
  <c r="AU43" i="23184"/>
  <c r="AP43" i="23184"/>
  <c r="AS43" i="23184"/>
  <c r="F57" i="23201"/>
  <c r="E57" i="23201"/>
  <c r="AF45" i="23184"/>
  <c r="H27" i="23199"/>
  <c r="D27" i="23199"/>
  <c r="C27" i="23199"/>
  <c r="E27" i="23199"/>
  <c r="F27" i="23199"/>
  <c r="G27" i="23199"/>
  <c r="U68" i="23184"/>
  <c r="AV68" i="23184"/>
  <c r="G68" i="23184"/>
  <c r="AI68" i="23184"/>
  <c r="O68" i="23184"/>
  <c r="B67" i="23184"/>
  <c r="N68" i="23184"/>
  <c r="K68" i="23184"/>
  <c r="AF68" i="23184"/>
  <c r="V68" i="23184"/>
  <c r="AK68" i="23184"/>
  <c r="AE68" i="23184"/>
  <c r="AB68" i="23184"/>
  <c r="T68" i="23184"/>
  <c r="Z68" i="23184"/>
  <c r="AN68" i="23184"/>
  <c r="Q68" i="23184"/>
  <c r="M68" i="23184"/>
  <c r="P68" i="23184"/>
  <c r="H68" i="23184"/>
  <c r="F68" i="23184"/>
  <c r="AU68" i="23184"/>
  <c r="AO68" i="23184"/>
  <c r="AL68" i="23184"/>
  <c r="AM68" i="23184"/>
  <c r="L68" i="23184"/>
  <c r="AG68" i="23184"/>
  <c r="Y68" i="23184"/>
  <c r="S68" i="23184"/>
  <c r="E68" i="23184"/>
  <c r="I68" i="23184"/>
  <c r="J68" i="23184"/>
  <c r="AC68" i="23184"/>
  <c r="X68" i="23184"/>
  <c r="AH68" i="23184"/>
  <c r="AJ68" i="23184"/>
  <c r="AS68" i="23184"/>
  <c r="R68" i="23184"/>
  <c r="AD68" i="23184"/>
  <c r="AA68" i="23184"/>
  <c r="AP68" i="23184"/>
  <c r="K69" i="23200"/>
  <c r="H69" i="23200"/>
  <c r="C69" i="23200"/>
  <c r="J69" i="23200"/>
  <c r="M69" i="23200"/>
  <c r="P82" i="23184"/>
  <c r="AV82" i="23184"/>
  <c r="H82" i="23184"/>
  <c r="E82" i="23184"/>
  <c r="AB82" i="23184"/>
  <c r="J82" i="23184"/>
  <c r="Z82" i="23184"/>
  <c r="AE82" i="23184"/>
  <c r="L82" i="23184"/>
  <c r="X82" i="23184"/>
  <c r="AJ82" i="23184"/>
  <c r="I82" i="23184"/>
  <c r="AL82" i="23184"/>
  <c r="AC82" i="23184"/>
  <c r="AA82" i="23184"/>
  <c r="Q82" i="23184"/>
  <c r="AS82" i="23184"/>
  <c r="AO82" i="23184"/>
  <c r="F82" i="23184"/>
  <c r="R82" i="23184"/>
  <c r="G82" i="23184"/>
  <c r="Y82" i="23184"/>
  <c r="AI82" i="23184"/>
  <c r="S82" i="23184"/>
  <c r="B81" i="23184"/>
  <c r="M82" i="23184"/>
  <c r="T82" i="23184"/>
  <c r="K82" i="23184"/>
  <c r="AP82" i="23184"/>
  <c r="AN82" i="23184"/>
  <c r="AK82" i="23184"/>
  <c r="O82" i="23184"/>
  <c r="AF82" i="23184"/>
  <c r="AD82" i="23184"/>
  <c r="N82" i="23184"/>
  <c r="U82" i="23184"/>
  <c r="AU82" i="23184"/>
  <c r="V82" i="23184"/>
  <c r="AH82" i="23184"/>
  <c r="AG82" i="23184"/>
  <c r="AM82" i="23184"/>
  <c r="N59" i="23209"/>
  <c r="F45" i="23184"/>
  <c r="AC45" i="23184"/>
  <c r="J45" i="23184"/>
  <c r="AD45" i="23184"/>
  <c r="D72" i="23198"/>
  <c r="AS19" i="23183"/>
  <c r="AY19" i="23183" s="1"/>
  <c r="D15" i="23201"/>
  <c r="H18" i="23200"/>
  <c r="O63" i="23200"/>
  <c r="J63" i="23200"/>
  <c r="F54" i="23201"/>
  <c r="E54" i="23201"/>
  <c r="C18" i="23199"/>
  <c r="E18" i="23199"/>
  <c r="H42" i="23200"/>
  <c r="I42" i="23200"/>
  <c r="J42" i="23200"/>
  <c r="D42" i="23200"/>
  <c r="N42" i="23200"/>
  <c r="E42" i="23200"/>
  <c r="L42" i="23200"/>
  <c r="M42" i="23200"/>
  <c r="F42" i="23200"/>
  <c r="G42" i="23200"/>
  <c r="K42" i="23200"/>
  <c r="O42" i="23200"/>
  <c r="C42" i="23200"/>
  <c r="Y70" i="23184"/>
  <c r="AV70" i="23184"/>
  <c r="I70" i="23184"/>
  <c r="X70" i="23184"/>
  <c r="AO70" i="23184"/>
  <c r="AH70" i="23184"/>
  <c r="F70" i="23184"/>
  <c r="U70" i="23184"/>
  <c r="Z70" i="23184"/>
  <c r="AM70" i="23184"/>
  <c r="AI70" i="23184"/>
  <c r="AP70" i="23184"/>
  <c r="Q70" i="23184"/>
  <c r="E70" i="23184"/>
  <c r="AJ70" i="23184"/>
  <c r="AL70" i="23184"/>
  <c r="T70" i="23184"/>
  <c r="B69" i="23184"/>
  <c r="V70" i="23184"/>
  <c r="N70" i="23184"/>
  <c r="AF70" i="23184"/>
  <c r="S70" i="23184"/>
  <c r="AN70" i="23184"/>
  <c r="AA70" i="23184"/>
  <c r="AE70" i="23184"/>
  <c r="H70" i="23184"/>
  <c r="AK70" i="23184"/>
  <c r="AS70" i="23184"/>
  <c r="AC70" i="23184"/>
  <c r="K70" i="23184"/>
  <c r="AB70" i="23184"/>
  <c r="L70" i="23184"/>
  <c r="AG70" i="23184"/>
  <c r="AD70" i="23184"/>
  <c r="J70" i="23184"/>
  <c r="G70" i="23184"/>
  <c r="AU70" i="23184"/>
  <c r="O70" i="23184"/>
  <c r="R70" i="23184"/>
  <c r="P70" i="23184"/>
  <c r="M70" i="23184"/>
  <c r="L45" i="23184"/>
  <c r="E45" i="23184"/>
  <c r="D63" i="23201"/>
  <c r="I18" i="23200"/>
  <c r="AC56" i="23184"/>
  <c r="AV56" i="23184"/>
  <c r="O56" i="23184"/>
  <c r="AD56" i="23184"/>
  <c r="H56" i="23184"/>
  <c r="AH56" i="23184"/>
  <c r="B55" i="23184"/>
  <c r="AI56" i="23184"/>
  <c r="J56" i="23184"/>
  <c r="V56" i="23184"/>
  <c r="AB56" i="23184"/>
  <c r="AA56" i="23184"/>
  <c r="I56" i="23184"/>
  <c r="G56" i="23184"/>
  <c r="P56" i="23184"/>
  <c r="AU56" i="23184"/>
  <c r="AK56" i="23184"/>
  <c r="R56" i="23184"/>
  <c r="F56" i="23184"/>
  <c r="E56" i="23184"/>
  <c r="L56" i="23184"/>
  <c r="AF56" i="23184"/>
  <c r="AG56" i="23184"/>
  <c r="M56" i="23184"/>
  <c r="T56" i="23184"/>
  <c r="AS56" i="23184"/>
  <c r="X56" i="23184"/>
  <c r="AJ56" i="23184"/>
  <c r="AM56" i="23184"/>
  <c r="Z56" i="23184"/>
  <c r="AN56" i="23184"/>
  <c r="K56" i="23184"/>
  <c r="AL56" i="23184"/>
  <c r="S56" i="23184"/>
  <c r="AO56" i="23184"/>
  <c r="AP56" i="23184"/>
  <c r="G50" i="23200"/>
  <c r="H50" i="23200"/>
  <c r="I50" i="23200"/>
  <c r="J50" i="23200"/>
  <c r="E50" i="23200"/>
  <c r="K50" i="23200"/>
  <c r="F50" i="23200"/>
  <c r="M50" i="23200"/>
  <c r="L50" i="23200"/>
  <c r="D50" i="23200"/>
  <c r="N50" i="23200"/>
  <c r="O50" i="23200"/>
  <c r="C50" i="23200"/>
  <c r="Z45" i="23184"/>
  <c r="AB45" i="23184"/>
  <c r="R45" i="23184"/>
  <c r="L18" i="23200"/>
  <c r="AJ14" i="23184"/>
  <c r="F63" i="23200"/>
  <c r="L55" i="23200"/>
  <c r="K55" i="23200"/>
  <c r="D55" i="23200"/>
  <c r="M55" i="23200"/>
  <c r="C55" i="23200"/>
  <c r="E55" i="23200"/>
  <c r="G55" i="23200"/>
  <c r="H55" i="23200"/>
  <c r="O55" i="23200"/>
  <c r="J55" i="23200"/>
  <c r="I55" i="23200"/>
  <c r="F55" i="23200"/>
  <c r="N55" i="23200"/>
  <c r="D67" i="23200"/>
  <c r="E67" i="23200"/>
  <c r="H67" i="23200"/>
  <c r="N67" i="23200"/>
  <c r="O67" i="23200"/>
  <c r="G67" i="23200"/>
  <c r="K67" i="23200"/>
  <c r="F67" i="23200"/>
  <c r="C67" i="23200"/>
  <c r="J67" i="23200"/>
  <c r="L67" i="23200"/>
  <c r="M67" i="23200"/>
  <c r="I67" i="23200"/>
  <c r="AD80" i="23184"/>
  <c r="AV80" i="23184"/>
  <c r="Y80" i="23184"/>
  <c r="AF80" i="23184"/>
  <c r="M80" i="23184"/>
  <c r="H80" i="23184"/>
  <c r="AB80" i="23184"/>
  <c r="AC80" i="23184"/>
  <c r="X80" i="23184"/>
  <c r="P80" i="23184"/>
  <c r="L80" i="23184"/>
  <c r="T80" i="23184"/>
  <c r="AK80" i="23184"/>
  <c r="AN80" i="23184"/>
  <c r="AL80" i="23184"/>
  <c r="K80" i="23184"/>
  <c r="R80" i="23184"/>
  <c r="AP80" i="23184"/>
  <c r="AI80" i="23184"/>
  <c r="S80" i="23184"/>
  <c r="U80" i="23184"/>
  <c r="AH80" i="23184"/>
  <c r="I80" i="23184"/>
  <c r="Q80" i="23184"/>
  <c r="AG80" i="23184"/>
  <c r="AO80" i="23184"/>
  <c r="N80" i="23184"/>
  <c r="AA80" i="23184"/>
  <c r="AJ80" i="23184"/>
  <c r="Z80" i="23184"/>
  <c r="AE80" i="23184"/>
  <c r="AU80" i="23184"/>
  <c r="O80" i="23184"/>
  <c r="B79" i="23184"/>
  <c r="F80" i="23184"/>
  <c r="V80" i="23184"/>
  <c r="AS80" i="23184"/>
  <c r="J80" i="23184"/>
  <c r="G80" i="23184"/>
  <c r="AM80" i="23184"/>
  <c r="E80" i="23184"/>
  <c r="F54" i="23199"/>
  <c r="H54" i="23199"/>
  <c r="E54" i="23199"/>
  <c r="D54" i="23199"/>
  <c r="C54" i="23199"/>
  <c r="G54" i="23199"/>
  <c r="G26" i="23199"/>
  <c r="H26" i="23199"/>
  <c r="E26" i="23199"/>
  <c r="D26" i="23199"/>
  <c r="C26" i="23199"/>
  <c r="F26" i="23199"/>
  <c r="F75" i="23184"/>
  <c r="AV75" i="23184"/>
  <c r="AM75" i="23184"/>
  <c r="AN75" i="23184"/>
  <c r="S75" i="23184"/>
  <c r="N75" i="23184"/>
  <c r="B74" i="23184"/>
  <c r="Z75" i="23184"/>
  <c r="AA75" i="23184"/>
  <c r="AK75" i="23184"/>
  <c r="AE75" i="23184"/>
  <c r="AL75" i="23184"/>
  <c r="AJ75" i="23184"/>
  <c r="AU75" i="23184"/>
  <c r="H75" i="23184"/>
  <c r="X75" i="23184"/>
  <c r="AC75" i="23184"/>
  <c r="I75" i="23184"/>
  <c r="V75" i="23184"/>
  <c r="J75" i="23184"/>
  <c r="AP75" i="23184"/>
  <c r="M75" i="23184"/>
  <c r="Y75" i="23184"/>
  <c r="G75" i="23184"/>
  <c r="R75" i="23184"/>
  <c r="AF75" i="23184"/>
  <c r="AD75" i="23184"/>
  <c r="AI75" i="23184"/>
  <c r="O75" i="23184"/>
  <c r="T75" i="23184"/>
  <c r="AS75" i="23184"/>
  <c r="Q75" i="23184"/>
  <c r="AB75" i="23184"/>
  <c r="U75" i="23184"/>
  <c r="AH75" i="23184"/>
  <c r="L75" i="23184"/>
  <c r="AO75" i="23184"/>
  <c r="AG75" i="23184"/>
  <c r="E75" i="23184"/>
  <c r="P75" i="23184"/>
  <c r="K75" i="23184"/>
  <c r="F45" i="23201"/>
  <c r="E45" i="23201"/>
  <c r="E45" i="23199"/>
  <c r="F45" i="23199"/>
  <c r="D45" i="23199"/>
  <c r="G45" i="23199"/>
  <c r="H45" i="23199"/>
  <c r="C45" i="23199"/>
  <c r="C19" i="23199"/>
  <c r="D178" i="23198"/>
  <c r="D180" i="23198"/>
  <c r="F60" i="23198"/>
  <c r="F62" i="23198"/>
  <c r="D177" i="23198"/>
  <c r="F97" i="23198"/>
  <c r="D60" i="23198"/>
  <c r="F175" i="23198"/>
  <c r="F171" i="23198"/>
  <c r="D261" i="23198"/>
  <c r="F174" i="23198"/>
  <c r="D226" i="23198"/>
  <c r="F191" i="23198"/>
  <c r="F260" i="23198"/>
  <c r="D51" i="23198"/>
  <c r="F193" i="23198"/>
  <c r="F194" i="23198"/>
  <c r="D237" i="23198"/>
  <c r="F180" i="23198"/>
  <c r="D52" i="23198"/>
  <c r="CS20" i="23183"/>
  <c r="CY20" i="23183" s="1"/>
  <c r="AT20" i="23183"/>
  <c r="AZ20" i="23183" s="1"/>
  <c r="AU20" i="23183"/>
  <c r="BA20" i="23183" s="1"/>
  <c r="AS20" i="23183"/>
  <c r="AY20" i="23183" s="1"/>
  <c r="CR19" i="23183"/>
  <c r="CX19" i="23183" s="1"/>
  <c r="D207" i="23198"/>
  <c r="D202" i="23198"/>
  <c r="C36" i="23199"/>
  <c r="G36" i="23199"/>
  <c r="H36" i="23199"/>
  <c r="D36" i="23199"/>
  <c r="E36" i="23199"/>
  <c r="F36" i="23199"/>
  <c r="D228" i="23198"/>
  <c r="D210" i="23198"/>
  <c r="F13" i="23201"/>
  <c r="D13" i="23201" s="1"/>
  <c r="D125" i="23198"/>
  <c r="D123" i="23198"/>
  <c r="E25" i="23199"/>
  <c r="D25" i="23199"/>
  <c r="CT28" i="23183"/>
  <c r="CZ28" i="23183" s="1"/>
  <c r="G47" i="23199"/>
  <c r="H47" i="23199"/>
  <c r="D47" i="23199"/>
  <c r="F47" i="23199"/>
  <c r="C47" i="23199"/>
  <c r="E47" i="23199"/>
  <c r="G49" i="23200"/>
  <c r="I49" i="23200"/>
  <c r="L49" i="23200"/>
  <c r="J49" i="23200"/>
  <c r="M49" i="23200"/>
  <c r="N49" i="23200"/>
  <c r="D49" i="23200"/>
  <c r="E49" i="23200"/>
  <c r="K49" i="23200"/>
  <c r="F49" i="23200"/>
  <c r="O49" i="23200"/>
  <c r="C49" i="23200"/>
  <c r="H49" i="23200"/>
  <c r="M36" i="23200"/>
  <c r="H36" i="23200"/>
  <c r="J36" i="23200"/>
  <c r="I36" i="23200"/>
  <c r="N36" i="23200"/>
  <c r="O36" i="23200"/>
  <c r="G36" i="23200"/>
  <c r="D36" i="23200"/>
  <c r="E36" i="23200"/>
  <c r="F36" i="23200"/>
  <c r="K36" i="23200"/>
  <c r="L36" i="23200"/>
  <c r="C36" i="23200"/>
  <c r="F60" i="23199"/>
  <c r="D60" i="23199"/>
  <c r="C60" i="23199"/>
  <c r="G60" i="23199"/>
  <c r="H60" i="23199"/>
  <c r="E60" i="23199"/>
  <c r="E35" i="23200"/>
  <c r="M35" i="23200"/>
  <c r="F35" i="23200"/>
  <c r="O35" i="23200"/>
  <c r="G35" i="23200"/>
  <c r="H35" i="23200"/>
  <c r="K35" i="23200"/>
  <c r="D35" i="23200"/>
  <c r="I35" i="23200"/>
  <c r="J35" i="23200"/>
  <c r="L35" i="23200"/>
  <c r="N35" i="23200"/>
  <c r="C35" i="23200"/>
  <c r="D212" i="23198"/>
  <c r="E51" i="23199"/>
  <c r="F51" i="23199"/>
  <c r="G51" i="23199"/>
  <c r="C51" i="23199"/>
  <c r="H51" i="23199"/>
  <c r="D51" i="23199"/>
  <c r="F48" i="23201"/>
  <c r="E48" i="23201"/>
  <c r="H48" i="23200"/>
  <c r="J48" i="23200"/>
  <c r="I48" i="23200"/>
  <c r="L48" i="23200"/>
  <c r="M48" i="23200"/>
  <c r="C48" i="23200"/>
  <c r="O48" i="23200"/>
  <c r="G48" i="23200"/>
  <c r="D48" i="23200"/>
  <c r="E48" i="23200"/>
  <c r="F48" i="23200"/>
  <c r="K48" i="23200"/>
  <c r="N48" i="23200"/>
  <c r="G72" i="23199"/>
  <c r="H72" i="23199"/>
  <c r="D72" i="23199"/>
  <c r="C72" i="23199"/>
  <c r="E72" i="23199"/>
  <c r="F72" i="23199"/>
  <c r="J58" i="39"/>
  <c r="E10" i="23195" s="1"/>
  <c r="D12" i="23208" s="1"/>
  <c r="D211" i="23198"/>
  <c r="E71" i="23201"/>
  <c r="F71" i="23201"/>
  <c r="X61" i="23184"/>
  <c r="G61" i="23184"/>
  <c r="AJ61" i="23184"/>
  <c r="U61" i="23184"/>
  <c r="N61" i="23184"/>
  <c r="H61" i="23184"/>
  <c r="AI61" i="23184"/>
  <c r="AD61" i="23184"/>
  <c r="AU61" i="23184"/>
  <c r="AB61" i="23184"/>
  <c r="J61" i="23184"/>
  <c r="P61" i="23184"/>
  <c r="F61" i="23184"/>
  <c r="S61" i="23184"/>
  <c r="M61" i="23184"/>
  <c r="AF61" i="23184"/>
  <c r="Q61" i="23184"/>
  <c r="AS61" i="23184"/>
  <c r="R61" i="23184"/>
  <c r="AA61" i="23184"/>
  <c r="AC61" i="23184"/>
  <c r="AK61" i="23184"/>
  <c r="O61" i="23184"/>
  <c r="AM61" i="23184"/>
  <c r="E61" i="23184"/>
  <c r="AH61" i="23184"/>
  <c r="I61" i="23184"/>
  <c r="AO61" i="23184"/>
  <c r="L61" i="23184"/>
  <c r="Y61" i="23184"/>
  <c r="B60" i="23184"/>
  <c r="AP61" i="23184"/>
  <c r="AE61" i="23184"/>
  <c r="Z61" i="23184"/>
  <c r="V61" i="23184"/>
  <c r="AL61" i="23184"/>
  <c r="AG61" i="23184"/>
  <c r="T61" i="23184"/>
  <c r="AN61" i="23184"/>
  <c r="K61" i="23184"/>
  <c r="D208" i="23198"/>
  <c r="AN50" i="23184"/>
  <c r="AF50" i="23184"/>
  <c r="O50" i="23184"/>
  <c r="AM50" i="23184"/>
  <c r="AJ50" i="23184"/>
  <c r="E50" i="23184"/>
  <c r="AE50" i="23184"/>
  <c r="AB50" i="23184"/>
  <c r="M50" i="23184"/>
  <c r="Z50" i="23184"/>
  <c r="AH50" i="23184"/>
  <c r="H50" i="23184"/>
  <c r="AL50" i="23184"/>
  <c r="AO50" i="23184"/>
  <c r="U50" i="23184"/>
  <c r="AP50" i="23184"/>
  <c r="R50" i="23184"/>
  <c r="F50" i="23184"/>
  <c r="P50" i="23184"/>
  <c r="J50" i="23184"/>
  <c r="AK50" i="23184"/>
  <c r="Q50" i="23184"/>
  <c r="K50" i="23184"/>
  <c r="AD50" i="23184"/>
  <c r="X50" i="23184"/>
  <c r="AI50" i="23184"/>
  <c r="L50" i="23184"/>
  <c r="N50" i="23184"/>
  <c r="Y50" i="23184"/>
  <c r="AG50" i="23184"/>
  <c r="I50" i="23184"/>
  <c r="AC50" i="23184"/>
  <c r="T50" i="23184"/>
  <c r="S50" i="23184"/>
  <c r="V50" i="23184"/>
  <c r="AU50" i="23184"/>
  <c r="B49" i="23184"/>
  <c r="AS50" i="23184"/>
  <c r="G50" i="23184"/>
  <c r="AE25" i="23184"/>
  <c r="O25" i="23184"/>
  <c r="J25" i="23184"/>
  <c r="Z25" i="23184"/>
  <c r="F25" i="23184"/>
  <c r="G25" i="23184"/>
  <c r="N25" i="23184"/>
  <c r="M25" i="23184"/>
  <c r="AI25" i="23184"/>
  <c r="AF25" i="23184"/>
  <c r="AC25" i="23184"/>
  <c r="X25" i="23184"/>
  <c r="V25" i="23184"/>
  <c r="AJ25" i="23184"/>
  <c r="AH25" i="23184"/>
  <c r="K25" i="23184"/>
  <c r="Q25" i="23184"/>
  <c r="T25" i="23184"/>
  <c r="P25" i="23184"/>
  <c r="L25" i="23184"/>
  <c r="U25" i="23184"/>
  <c r="AS25" i="23184"/>
  <c r="AD25" i="23184"/>
  <c r="AK25" i="23184"/>
  <c r="AA25" i="23184"/>
  <c r="AB25" i="23184"/>
  <c r="AN25" i="23184"/>
  <c r="B24" i="23184"/>
  <c r="AO25" i="23184"/>
  <c r="R25" i="23184"/>
  <c r="I25" i="23184"/>
  <c r="AL25" i="23184"/>
  <c r="Y25" i="23184"/>
  <c r="AG25" i="23184"/>
  <c r="AP25" i="23184"/>
  <c r="H25" i="23184"/>
  <c r="AM25" i="23184"/>
  <c r="E25" i="23184"/>
  <c r="S25" i="23184"/>
  <c r="AU25" i="23184"/>
  <c r="AJ37" i="23184"/>
  <c r="AB37" i="23184"/>
  <c r="Z37" i="23184"/>
  <c r="X37" i="23184"/>
  <c r="K37" i="23184"/>
  <c r="V37" i="23184"/>
  <c r="AK37" i="23184"/>
  <c r="N37" i="23184"/>
  <c r="Y37" i="23184"/>
  <c r="AG37" i="23184"/>
  <c r="AE37" i="23184"/>
  <c r="AN37" i="23184"/>
  <c r="AP37" i="23184"/>
  <c r="E37" i="23184"/>
  <c r="B36" i="23184"/>
  <c r="AA37" i="23184"/>
  <c r="AO37" i="23184"/>
  <c r="R37" i="23184"/>
  <c r="L37" i="23184"/>
  <c r="O37" i="23184"/>
  <c r="G37" i="23184"/>
  <c r="AL37" i="23184"/>
  <c r="AI37" i="23184"/>
  <c r="AD37" i="23184"/>
  <c r="AH37" i="23184"/>
  <c r="J37" i="23184"/>
  <c r="AF37" i="23184"/>
  <c r="F37" i="23184"/>
  <c r="S37" i="23184"/>
  <c r="T37" i="23184"/>
  <c r="M37" i="23184"/>
  <c r="Q37" i="23184"/>
  <c r="U37" i="23184"/>
  <c r="P37" i="23184"/>
  <c r="AU37" i="23184"/>
  <c r="I37" i="23184"/>
  <c r="H37" i="23184"/>
  <c r="AC37" i="23184"/>
  <c r="AS37" i="23184"/>
  <c r="AM37" i="23184"/>
  <c r="F255" i="23198"/>
  <c r="D206" i="23198"/>
  <c r="G74" i="23184"/>
  <c r="AD74" i="23184"/>
  <c r="AA74" i="23184"/>
  <c r="O74" i="23184"/>
  <c r="AC74" i="23184"/>
  <c r="Y74" i="23184"/>
  <c r="AS74" i="23184"/>
  <c r="AI74" i="23184"/>
  <c r="AP74" i="23184"/>
  <c r="AF74" i="23184"/>
  <c r="I74" i="23184"/>
  <c r="V74" i="23184"/>
  <c r="B73" i="23184"/>
  <c r="AB74" i="23184"/>
  <c r="H74" i="23184"/>
  <c r="K74" i="23184"/>
  <c r="Q74" i="23184"/>
  <c r="AJ74" i="23184"/>
  <c r="AU74" i="23184"/>
  <c r="X74" i="23184"/>
  <c r="L74" i="23184"/>
  <c r="Z74" i="23184"/>
  <c r="AH74" i="23184"/>
  <c r="J74" i="23184"/>
  <c r="AK74" i="23184"/>
  <c r="T74" i="23184"/>
  <c r="AE74" i="23184"/>
  <c r="AN74" i="23184"/>
  <c r="AL74" i="23184"/>
  <c r="U74" i="23184"/>
  <c r="AG74" i="23184"/>
  <c r="F74" i="23184"/>
  <c r="E74" i="23184"/>
  <c r="AO74" i="23184"/>
  <c r="R74" i="23184"/>
  <c r="N74" i="23184"/>
  <c r="P74" i="23184"/>
  <c r="S74" i="23184"/>
  <c r="AM74" i="23184"/>
  <c r="M74" i="23184"/>
  <c r="E60" i="23201"/>
  <c r="F60" i="23201"/>
  <c r="H37" i="23200"/>
  <c r="M37" i="23200"/>
  <c r="J37" i="23200"/>
  <c r="O37" i="23200"/>
  <c r="D37" i="23200"/>
  <c r="E37" i="23200"/>
  <c r="F37" i="23200"/>
  <c r="K37" i="23200"/>
  <c r="N37" i="23200"/>
  <c r="C37" i="23200"/>
  <c r="G37" i="23200"/>
  <c r="I37" i="23200"/>
  <c r="L37" i="23200"/>
  <c r="D204" i="23198"/>
  <c r="J39" i="39"/>
  <c r="G39" i="39" s="1"/>
  <c r="AU19" i="23183"/>
  <c r="BA19" i="23183" s="1"/>
  <c r="BN19" i="23183"/>
  <c r="BP19" i="23183" s="1"/>
  <c r="K39" i="23200"/>
  <c r="L39" i="23200"/>
  <c r="J39" i="23200"/>
  <c r="M39" i="23200"/>
  <c r="G39" i="23200"/>
  <c r="H39" i="23200"/>
  <c r="I39" i="23200"/>
  <c r="D39" i="23200"/>
  <c r="N39" i="23200"/>
  <c r="E39" i="23200"/>
  <c r="O39" i="23200"/>
  <c r="F39" i="23200"/>
  <c r="C39" i="23200"/>
  <c r="E48" i="23199"/>
  <c r="F48" i="23199"/>
  <c r="D48" i="23199"/>
  <c r="H48" i="23199"/>
  <c r="G48" i="23199"/>
  <c r="C48" i="23199"/>
  <c r="D98" i="23198"/>
  <c r="F89" i="23198"/>
  <c r="D203" i="23198"/>
  <c r="CR28" i="23183"/>
  <c r="CX28" i="23183" s="1"/>
  <c r="E25" i="23201"/>
  <c r="F25" i="23201"/>
  <c r="J24" i="23200"/>
  <c r="O24" i="23200"/>
  <c r="D24" i="23200"/>
  <c r="M24" i="23200"/>
  <c r="E24" i="23200"/>
  <c r="K24" i="23200"/>
  <c r="F24" i="23200"/>
  <c r="G24" i="23200"/>
  <c r="L24" i="23200"/>
  <c r="C24" i="23200"/>
  <c r="H24" i="23200"/>
  <c r="N24" i="23200"/>
  <c r="I24" i="23200"/>
  <c r="N72" i="23200"/>
  <c r="D72" i="23200"/>
  <c r="M72" i="23200"/>
  <c r="G72" i="23200"/>
  <c r="E72" i="23200"/>
  <c r="I72" i="23200"/>
  <c r="L72" i="23200"/>
  <c r="J72" i="23200"/>
  <c r="K72" i="23200"/>
  <c r="F72" i="23200"/>
  <c r="C72" i="23200"/>
  <c r="H72" i="23200"/>
  <c r="O72" i="23200"/>
  <c r="J37" i="39"/>
  <c r="J48" i="39"/>
  <c r="E8" i="23195" s="1"/>
  <c r="D10" i="23208" s="1"/>
  <c r="J46" i="39"/>
  <c r="G15" i="23200"/>
  <c r="F409" i="23198"/>
  <c r="H25" i="23200"/>
  <c r="J25" i="23200"/>
  <c r="K25" i="23200"/>
  <c r="L25" i="23200"/>
  <c r="M25" i="23200"/>
  <c r="D25" i="23200"/>
  <c r="E25" i="23200"/>
  <c r="F25" i="23200"/>
  <c r="O25" i="23200"/>
  <c r="G25" i="23200"/>
  <c r="I25" i="23200"/>
  <c r="C25" i="23200"/>
  <c r="N25" i="23200"/>
  <c r="E59" i="23199"/>
  <c r="F59" i="23199"/>
  <c r="H59" i="23199"/>
  <c r="D59" i="23199"/>
  <c r="G59" i="23199"/>
  <c r="C59" i="23199"/>
  <c r="D61" i="23200"/>
  <c r="N61" i="23200"/>
  <c r="F61" i="23200"/>
  <c r="G61" i="23200"/>
  <c r="H61" i="23200"/>
  <c r="K61" i="23200"/>
  <c r="L61" i="23200"/>
  <c r="M61" i="23200"/>
  <c r="E61" i="23200"/>
  <c r="O61" i="23200"/>
  <c r="I61" i="23200"/>
  <c r="J61" i="23200"/>
  <c r="C61" i="23200"/>
  <c r="J20" i="39"/>
  <c r="E6" i="23195" s="1"/>
  <c r="D8" i="23208" s="1"/>
  <c r="D15" i="23200"/>
  <c r="AT19" i="23183"/>
  <c r="AZ19" i="23183" s="1"/>
  <c r="BN20" i="23183"/>
  <c r="BP20" i="23183" s="1"/>
  <c r="F49" i="23201"/>
  <c r="E49" i="23201"/>
  <c r="E47" i="23200"/>
  <c r="D47" i="23200"/>
  <c r="I47" i="23200"/>
  <c r="M47" i="23200"/>
  <c r="J47" i="23200"/>
  <c r="N47" i="23200"/>
  <c r="O47" i="23200"/>
  <c r="C47" i="23200"/>
  <c r="F47" i="23200"/>
  <c r="G47" i="23200"/>
  <c r="K47" i="23200"/>
  <c r="H47" i="23200"/>
  <c r="L47" i="23200"/>
  <c r="F37" i="23201"/>
  <c r="E37" i="23201"/>
  <c r="AB73" i="23184"/>
  <c r="AH73" i="23184"/>
  <c r="K73" i="23184"/>
  <c r="F73" i="23184"/>
  <c r="AL73" i="23184"/>
  <c r="H73" i="23184"/>
  <c r="V73" i="23184"/>
  <c r="AF73" i="23184"/>
  <c r="R73" i="23184"/>
  <c r="AM73" i="23184"/>
  <c r="AK73" i="23184"/>
  <c r="AA73" i="23184"/>
  <c r="AG73" i="23184"/>
  <c r="S73" i="23184"/>
  <c r="L73" i="23184"/>
  <c r="AJ73" i="23184"/>
  <c r="X73" i="23184"/>
  <c r="AI73" i="23184"/>
  <c r="T73" i="23184"/>
  <c r="AU73" i="23184"/>
  <c r="Y73" i="23184"/>
  <c r="U73" i="23184"/>
  <c r="AS73" i="23184"/>
  <c r="AC73" i="23184"/>
  <c r="E73" i="23184"/>
  <c r="I73" i="23184"/>
  <c r="AN73" i="23184"/>
  <c r="G73" i="23184"/>
  <c r="Z73" i="23184"/>
  <c r="M73" i="23184"/>
  <c r="AD73" i="23184"/>
  <c r="AP73" i="23184"/>
  <c r="AE73" i="23184"/>
  <c r="Q73" i="23184"/>
  <c r="N73" i="23184"/>
  <c r="J73" i="23184"/>
  <c r="P73" i="23184"/>
  <c r="B72" i="23184"/>
  <c r="O73" i="23184"/>
  <c r="AO73" i="23184"/>
  <c r="F72" i="23201"/>
  <c r="D72" i="23201" s="1"/>
  <c r="E72" i="23201"/>
  <c r="D148" i="23198"/>
  <c r="O20" i="23183"/>
  <c r="Q20" i="23183" s="1"/>
  <c r="I15" i="23200"/>
  <c r="S49" i="23184"/>
  <c r="AM49" i="23184"/>
  <c r="AC49" i="23184"/>
  <c r="U49" i="23184"/>
  <c r="B48" i="23184"/>
  <c r="M49" i="23184"/>
  <c r="AN49" i="23184"/>
  <c r="F24" i="23201"/>
  <c r="C24" i="23201" s="1"/>
  <c r="E24" i="23201"/>
  <c r="F36" i="23201"/>
  <c r="C36" i="23201" s="1"/>
  <c r="E36" i="23201"/>
  <c r="AF16" i="23184"/>
  <c r="X16" i="23184"/>
  <c r="AC16" i="23184"/>
  <c r="AO16" i="23184"/>
  <c r="AG16" i="23184"/>
  <c r="Z16" i="23184"/>
  <c r="AL16" i="23184"/>
  <c r="Y16" i="23184"/>
  <c r="O16" i="23184"/>
  <c r="F16" i="23184"/>
  <c r="AI16" i="23184"/>
  <c r="M16" i="23184"/>
  <c r="AD16" i="23184"/>
  <c r="AB16" i="23184"/>
  <c r="R16" i="23184"/>
  <c r="AH16" i="23184"/>
  <c r="K16" i="23184"/>
  <c r="AM16" i="23184"/>
  <c r="S16" i="23184"/>
  <c r="AE16" i="23184"/>
  <c r="J16" i="23184"/>
  <c r="U16" i="23184"/>
  <c r="I16" i="23184"/>
  <c r="N16" i="23184"/>
  <c r="B15" i="23184"/>
  <c r="L16" i="23184"/>
  <c r="G16" i="23184"/>
  <c r="E16" i="23184"/>
  <c r="P16" i="23184"/>
  <c r="AK16" i="23184"/>
  <c r="J38" i="39"/>
  <c r="G38" i="39" s="1"/>
  <c r="CR25" i="23183"/>
  <c r="CX25" i="23183" s="1"/>
  <c r="O19" i="23183"/>
  <c r="Q19" i="23183" s="1"/>
  <c r="J15" i="23200"/>
  <c r="C15" i="23200"/>
  <c r="H15" i="23200"/>
  <c r="K15" i="23200"/>
  <c r="F15" i="23200"/>
  <c r="E15" i="23200"/>
  <c r="N15" i="23200"/>
  <c r="L15" i="23200"/>
  <c r="M15" i="23200"/>
  <c r="C15" i="23199"/>
  <c r="CT27" i="23183"/>
  <c r="CZ27" i="23183" s="1"/>
  <c r="K52" i="23177"/>
  <c r="CS25" i="23183"/>
  <c r="CY25" i="23183" s="1"/>
  <c r="CR22" i="23183"/>
  <c r="CX22" i="23183" s="1"/>
  <c r="CT25" i="23183"/>
  <c r="CZ25" i="23183" s="1"/>
  <c r="E56" i="23201"/>
  <c r="F56" i="23201"/>
  <c r="F39" i="23201"/>
  <c r="C39" i="23201" s="1"/>
  <c r="E39" i="23201"/>
  <c r="F241" i="23198"/>
  <c r="F238" i="23198"/>
  <c r="F243" i="23198"/>
  <c r="F240" i="23198"/>
  <c r="F236" i="23198"/>
  <c r="F237" i="23198"/>
  <c r="F244" i="23198"/>
  <c r="F242" i="23198"/>
  <c r="F234" i="23198"/>
  <c r="F235" i="23198"/>
  <c r="F466" i="23198"/>
  <c r="F506" i="23198"/>
  <c r="F455" i="23198"/>
  <c r="F476" i="23198"/>
  <c r="F441" i="23198"/>
  <c r="F433" i="23198"/>
  <c r="F492" i="23198"/>
  <c r="F470" i="23198"/>
  <c r="F469" i="23198"/>
  <c r="F418" i="23198"/>
  <c r="F515" i="23198"/>
  <c r="F427" i="23198"/>
  <c r="F423" i="23198"/>
  <c r="F425" i="23198"/>
  <c r="F447" i="23198"/>
  <c r="F442" i="23198"/>
  <c r="F417" i="23198"/>
  <c r="F429" i="23198"/>
  <c r="F440" i="23198"/>
  <c r="F454" i="23198"/>
  <c r="F505" i="23198"/>
  <c r="F437" i="23198"/>
  <c r="F499" i="23198"/>
  <c r="F490" i="23198"/>
  <c r="F496" i="23198"/>
  <c r="F453" i="23198"/>
  <c r="F465" i="23198"/>
  <c r="F487" i="23198"/>
  <c r="F489" i="23198"/>
  <c r="F502" i="23198"/>
  <c r="F497" i="23198"/>
  <c r="F432" i="23198"/>
  <c r="F451" i="23198"/>
  <c r="F480" i="23198"/>
  <c r="F477" i="23198"/>
  <c r="F494" i="23198"/>
  <c r="F491" i="23198"/>
  <c r="F434" i="23198"/>
  <c r="F460" i="23198"/>
  <c r="F500" i="23198"/>
  <c r="F436" i="23198"/>
  <c r="F511" i="23198"/>
  <c r="F518" i="23198"/>
  <c r="F463" i="23198"/>
  <c r="F501" i="23198"/>
  <c r="F504" i="23198"/>
  <c r="F472" i="23198"/>
  <c r="F464" i="23198"/>
  <c r="F420" i="23198"/>
  <c r="F435" i="23198"/>
  <c r="F459" i="23198"/>
  <c r="F517" i="23198"/>
  <c r="F439" i="23198"/>
  <c r="F424" i="23198"/>
  <c r="F448" i="23198"/>
  <c r="F478" i="23198"/>
  <c r="F428" i="23198"/>
  <c r="F514" i="23198"/>
  <c r="F516" i="23198"/>
  <c r="F467" i="23198"/>
  <c r="F468" i="23198"/>
  <c r="F445" i="23198"/>
  <c r="F482" i="23198"/>
  <c r="F421" i="23198"/>
  <c r="F446" i="23198"/>
  <c r="F426" i="23198"/>
  <c r="F458" i="23198"/>
  <c r="F495" i="23198"/>
  <c r="F430" i="23198"/>
  <c r="F479" i="23198"/>
  <c r="F471" i="23198"/>
  <c r="F509" i="23198"/>
  <c r="F513" i="23198"/>
  <c r="F14" i="23200"/>
  <c r="L14" i="23200"/>
  <c r="H14" i="23200"/>
  <c r="M14" i="23200"/>
  <c r="G14" i="23200"/>
  <c r="N14" i="23200"/>
  <c r="I14" i="23200"/>
  <c r="O14" i="23200"/>
  <c r="C14" i="23200"/>
  <c r="J14" i="23200"/>
  <c r="D14" i="23200"/>
  <c r="K14" i="23200"/>
  <c r="E14" i="23200"/>
  <c r="CS19" i="23183"/>
  <c r="CY19" i="23183" s="1"/>
  <c r="CR27" i="23183"/>
  <c r="CX27" i="23183" s="1"/>
  <c r="M45" i="23184"/>
  <c r="AJ45" i="23184"/>
  <c r="K45" i="23184"/>
  <c r="T45" i="23184"/>
  <c r="B44" i="23184"/>
  <c r="AM45" i="23184"/>
  <c r="AN45" i="23184"/>
  <c r="U45" i="23184"/>
  <c r="S45" i="23184"/>
  <c r="AL45" i="23184"/>
  <c r="AO45" i="23184"/>
  <c r="AU45" i="23184"/>
  <c r="AS45" i="23184"/>
  <c r="AK45" i="23184"/>
  <c r="AP45" i="23184"/>
  <c r="C68" i="23199"/>
  <c r="F68" i="23199"/>
  <c r="G68" i="23199"/>
  <c r="H68" i="23199"/>
  <c r="D68" i="23199"/>
  <c r="E68" i="23199"/>
  <c r="F498" i="23198"/>
  <c r="F178" i="23198"/>
  <c r="F176" i="23198"/>
  <c r="F170" i="23198"/>
  <c r="F179" i="23198"/>
  <c r="F173" i="23198"/>
  <c r="F486" i="23198"/>
  <c r="Y15" i="23184"/>
  <c r="B14" i="23184"/>
  <c r="AL15" i="23184"/>
  <c r="Z15" i="23184"/>
  <c r="O15" i="23184"/>
  <c r="G15" i="23184"/>
  <c r="AI15" i="23184"/>
  <c r="AM15" i="23184"/>
  <c r="AB15" i="23184"/>
  <c r="X15" i="23184"/>
  <c r="AF15" i="23184"/>
  <c r="M15" i="23184"/>
  <c r="R15" i="23184"/>
  <c r="F15" i="23184"/>
  <c r="AE15" i="23184"/>
  <c r="L15" i="23184"/>
  <c r="J15" i="23184"/>
  <c r="S15" i="23184"/>
  <c r="AC15" i="23184"/>
  <c r="AH15" i="23184"/>
  <c r="E15" i="23184"/>
  <c r="N15" i="23184"/>
  <c r="AG15" i="23184"/>
  <c r="AO15" i="23184"/>
  <c r="P15" i="23184"/>
  <c r="AD15" i="23184"/>
  <c r="U15" i="23184"/>
  <c r="AK15" i="23184"/>
  <c r="I15" i="23184"/>
  <c r="K15" i="23184"/>
  <c r="C14" i="23199"/>
  <c r="CT26" i="23183"/>
  <c r="CZ26" i="23183" s="1"/>
  <c r="F261" i="23198"/>
  <c r="F262" i="23198"/>
  <c r="CR26" i="23183"/>
  <c r="CX26" i="23183" s="1"/>
  <c r="J32" i="23200"/>
  <c r="M32" i="23200"/>
  <c r="N32" i="23200"/>
  <c r="O32" i="23200"/>
  <c r="C32" i="23200"/>
  <c r="E32" i="23200"/>
  <c r="F32" i="23200"/>
  <c r="G32" i="23200"/>
  <c r="H32" i="23200"/>
  <c r="K32" i="23200"/>
  <c r="L32" i="23200"/>
  <c r="D32" i="23200"/>
  <c r="I32" i="23200"/>
  <c r="F190" i="23198"/>
  <c r="F186" i="23198"/>
  <c r="F195" i="23198"/>
  <c r="F187" i="23198"/>
  <c r="F188" i="23198"/>
  <c r="F192" i="23198"/>
  <c r="F151" i="23198"/>
  <c r="F144" i="23198"/>
  <c r="F147" i="23198"/>
  <c r="F143" i="23198"/>
  <c r="F152" i="23198"/>
  <c r="F145" i="23198"/>
  <c r="F155" i="23198"/>
  <c r="F148" i="23198"/>
  <c r="F263" i="23198"/>
  <c r="X59" i="23209"/>
  <c r="O59" i="23209"/>
  <c r="J57" i="23184"/>
  <c r="AN57" i="23184"/>
  <c r="AO57" i="23184"/>
  <c r="H57" i="23184"/>
  <c r="AD57" i="23184"/>
  <c r="T57" i="23184"/>
  <c r="V57" i="23184"/>
  <c r="U57" i="23184"/>
  <c r="AB57" i="23184"/>
  <c r="Z57" i="23184"/>
  <c r="AM57" i="23184"/>
  <c r="L57" i="23184"/>
  <c r="G57" i="23184"/>
  <c r="AF57" i="23184"/>
  <c r="AJ57" i="23184"/>
  <c r="R57" i="23184"/>
  <c r="AH57" i="23184"/>
  <c r="Y57" i="23184"/>
  <c r="E57" i="23184"/>
  <c r="X57" i="23184"/>
  <c r="B56" i="23184"/>
  <c r="F57" i="23184"/>
  <c r="I57" i="23184"/>
  <c r="N57" i="23184"/>
  <c r="AC57" i="23184"/>
  <c r="Q57" i="23184"/>
  <c r="K57" i="23184"/>
  <c r="AA57" i="23184"/>
  <c r="AL57" i="23184"/>
  <c r="AK57" i="23184"/>
  <c r="AP57" i="23184"/>
  <c r="S57" i="23184"/>
  <c r="O57" i="23184"/>
  <c r="AE57" i="23184"/>
  <c r="M57" i="23184"/>
  <c r="P57" i="23184"/>
  <c r="AI57" i="23184"/>
  <c r="AU57" i="23184"/>
  <c r="AS57" i="23184"/>
  <c r="AG57" i="23184"/>
  <c r="T69" i="23184"/>
  <c r="AO69" i="23184"/>
  <c r="AS69" i="23184"/>
  <c r="J69" i="23184"/>
  <c r="M69" i="23184"/>
  <c r="Y69" i="23184"/>
  <c r="G69" i="23184"/>
  <c r="AH69" i="23184"/>
  <c r="I69" i="23184"/>
  <c r="AG69" i="23184"/>
  <c r="N69" i="23184"/>
  <c r="AD69" i="23184"/>
  <c r="X69" i="23184"/>
  <c r="V69" i="23184"/>
  <c r="S69" i="23184"/>
  <c r="AM69" i="23184"/>
  <c r="U69" i="23184"/>
  <c r="AB69" i="23184"/>
  <c r="F69" i="23184"/>
  <c r="L69" i="23184"/>
  <c r="AE69" i="23184"/>
  <c r="AJ69" i="23184"/>
  <c r="R69" i="23184"/>
  <c r="H69" i="23184"/>
  <c r="AC69" i="23184"/>
  <c r="P69" i="23184"/>
  <c r="K69" i="23184"/>
  <c r="AF69" i="23184"/>
  <c r="O69" i="23184"/>
  <c r="AL69" i="23184"/>
  <c r="Q69" i="23184"/>
  <c r="AA69" i="23184"/>
  <c r="AU69" i="23184"/>
  <c r="AK69" i="23184"/>
  <c r="AN69" i="23184"/>
  <c r="B68" i="23184"/>
  <c r="E69" i="23184"/>
  <c r="AI69" i="23184"/>
  <c r="AP69" i="23184"/>
  <c r="Z69" i="23184"/>
  <c r="F27" i="23201"/>
  <c r="E27" i="23201"/>
  <c r="F450" i="23198"/>
  <c r="H55" i="23193"/>
  <c r="I50" i="23193"/>
  <c r="H53" i="23193"/>
  <c r="H52" i="23193"/>
  <c r="K57" i="23193" s="1"/>
  <c r="M57" i="23193" s="1"/>
  <c r="H49" i="23193"/>
  <c r="F278" i="23198"/>
  <c r="F275" i="23198"/>
  <c r="F276" i="23198"/>
  <c r="F273" i="23198"/>
  <c r="F274" i="23198"/>
  <c r="F272" i="23198"/>
  <c r="F196" i="23198"/>
  <c r="CS24" i="23183"/>
  <c r="CY24" i="23183" s="1"/>
  <c r="CS26" i="23183"/>
  <c r="CY26" i="23183" s="1"/>
  <c r="E44" i="23201"/>
  <c r="F44" i="23201"/>
  <c r="D44" i="23201" s="1"/>
  <c r="G39" i="23199"/>
  <c r="H39" i="23199"/>
  <c r="D39" i="23199"/>
  <c r="F39" i="23199"/>
  <c r="E39" i="23199"/>
  <c r="C39" i="23199"/>
  <c r="F462" i="23198"/>
  <c r="F99" i="23198"/>
  <c r="F94" i="23198"/>
  <c r="F98" i="23198"/>
  <c r="F100" i="23198"/>
  <c r="F95" i="23198"/>
  <c r="D155" i="23198"/>
  <c r="D154" i="23198"/>
  <c r="D153" i="23198"/>
  <c r="D147" i="23198"/>
  <c r="D152" i="23198"/>
  <c r="D145" i="23198"/>
  <c r="D143" i="23198"/>
  <c r="D146" i="23198"/>
  <c r="D144" i="23198"/>
  <c r="D151" i="23198"/>
  <c r="D150" i="23198"/>
  <c r="F271" i="23198"/>
  <c r="T33" i="23184"/>
  <c r="AC33" i="23184"/>
  <c r="Q33" i="23184"/>
  <c r="O33" i="23184"/>
  <c r="AU33" i="23184"/>
  <c r="R33" i="23184"/>
  <c r="AN33" i="23184"/>
  <c r="Y33" i="23184"/>
  <c r="V33" i="23184"/>
  <c r="AS33" i="23184"/>
  <c r="N33" i="23184"/>
  <c r="Z33" i="23184"/>
  <c r="AO33" i="23184"/>
  <c r="AD33" i="23184"/>
  <c r="AJ33" i="23184"/>
  <c r="AE33" i="23184"/>
  <c r="K33" i="23184"/>
  <c r="AK33" i="23184"/>
  <c r="S33" i="23184"/>
  <c r="AF33" i="23184"/>
  <c r="AL33" i="23184"/>
  <c r="L33" i="23184"/>
  <c r="J33" i="23184"/>
  <c r="F33" i="23184"/>
  <c r="U33" i="23184"/>
  <c r="X33" i="23184"/>
  <c r="B32" i="23184"/>
  <c r="AI33" i="23184"/>
  <c r="E33" i="23184"/>
  <c r="AB33" i="23184"/>
  <c r="I33" i="23184"/>
  <c r="AP33" i="23184"/>
  <c r="P33" i="23184"/>
  <c r="G33" i="23184"/>
  <c r="H33" i="23184"/>
  <c r="AH33" i="23184"/>
  <c r="AG33" i="23184"/>
  <c r="M33" i="23184"/>
  <c r="AM33" i="23184"/>
  <c r="AA33" i="23184"/>
  <c r="D89" i="23198"/>
  <c r="L64" i="23184"/>
  <c r="X64" i="23184"/>
  <c r="AS64" i="23184"/>
  <c r="AF64" i="23184"/>
  <c r="AA64" i="23184"/>
  <c r="AB64" i="23184"/>
  <c r="AO64" i="23184"/>
  <c r="AI64" i="23184"/>
  <c r="P64" i="23184"/>
  <c r="N64" i="23184"/>
  <c r="AJ64" i="23184"/>
  <c r="AP64" i="23184"/>
  <c r="Y64" i="23184"/>
  <c r="AE64" i="23184"/>
  <c r="V64" i="23184"/>
  <c r="AN64" i="23184"/>
  <c r="E64" i="23184"/>
  <c r="I64" i="23184"/>
  <c r="M64" i="23184"/>
  <c r="S64" i="23184"/>
  <c r="AL64" i="23184"/>
  <c r="F64" i="23184"/>
  <c r="H64" i="23184"/>
  <c r="AH64" i="23184"/>
  <c r="T64" i="23184"/>
  <c r="AM64" i="23184"/>
  <c r="AG64" i="23184"/>
  <c r="B63" i="23184"/>
  <c r="AC64" i="23184"/>
  <c r="U64" i="23184"/>
  <c r="Q64" i="23184"/>
  <c r="Z64" i="23184"/>
  <c r="R64" i="23184"/>
  <c r="G64" i="23184"/>
  <c r="J64" i="23184"/>
  <c r="AD64" i="23184"/>
  <c r="AK64" i="23184"/>
  <c r="AU64" i="23184"/>
  <c r="K64" i="23184"/>
  <c r="O64" i="23184"/>
  <c r="D191" i="23198"/>
  <c r="D196" i="23198"/>
  <c r="D189" i="23198"/>
  <c r="D192" i="23198"/>
  <c r="D190" i="23198"/>
  <c r="D186" i="23198"/>
  <c r="D193" i="23198"/>
  <c r="D188" i="23198"/>
  <c r="D47" i="23198"/>
  <c r="D49" i="23198"/>
  <c r="D48" i="23198"/>
  <c r="D46" i="23198"/>
  <c r="D236" i="23198"/>
  <c r="I51" i="23177"/>
  <c r="F52" i="23198"/>
  <c r="F46" i="23198"/>
  <c r="F47" i="23198"/>
  <c r="F51" i="23198"/>
  <c r="F50" i="23198"/>
  <c r="E5" i="23195"/>
  <c r="D7" i="23208" s="1"/>
  <c r="D242" i="23198"/>
  <c r="F213" i="23198"/>
  <c r="F78" i="23198"/>
  <c r="CT19" i="23183"/>
  <c r="CZ19" i="23183" s="1"/>
  <c r="AH40" i="23184"/>
  <c r="U40" i="23184"/>
  <c r="AL40" i="23184"/>
  <c r="AB40" i="23184"/>
  <c r="AF40" i="23184"/>
  <c r="Z40" i="23184"/>
  <c r="AD40" i="23184"/>
  <c r="AU40" i="23184"/>
  <c r="I40" i="23184"/>
  <c r="P40" i="23184"/>
  <c r="AS40" i="23184"/>
  <c r="N40" i="23184"/>
  <c r="B39" i="23184"/>
  <c r="O40" i="23184"/>
  <c r="L40" i="23184"/>
  <c r="AO40" i="23184"/>
  <c r="AJ40" i="23184"/>
  <c r="V40" i="23184"/>
  <c r="AC40" i="23184"/>
  <c r="R40" i="23184"/>
  <c r="S40" i="23184"/>
  <c r="AA40" i="23184"/>
  <c r="E40" i="23184"/>
  <c r="AP40" i="23184"/>
  <c r="AG40" i="23184"/>
  <c r="H40" i="23184"/>
  <c r="AN40" i="23184"/>
  <c r="AM40" i="23184"/>
  <c r="K40" i="23184"/>
  <c r="Y40" i="23184"/>
  <c r="J40" i="23184"/>
  <c r="AE40" i="23184"/>
  <c r="Q40" i="23184"/>
  <c r="G40" i="23184"/>
  <c r="F40" i="23184"/>
  <c r="AI40" i="23184"/>
  <c r="T40" i="23184"/>
  <c r="X40" i="23184"/>
  <c r="AK40" i="23184"/>
  <c r="M40" i="23184"/>
  <c r="E51" i="23201"/>
  <c r="F51" i="23201"/>
  <c r="D51" i="23201" s="1"/>
  <c r="F64" i="23198"/>
  <c r="F65" i="23198"/>
  <c r="F63" i="23198"/>
  <c r="F59" i="23198"/>
  <c r="F61" i="23198"/>
  <c r="O27" i="23200"/>
  <c r="J27" i="23200"/>
  <c r="D27" i="23200"/>
  <c r="E27" i="23200"/>
  <c r="F27" i="23200"/>
  <c r="H27" i="23200"/>
  <c r="I27" i="23200"/>
  <c r="K27" i="23200"/>
  <c r="C27" i="23200"/>
  <c r="L27" i="23200"/>
  <c r="M27" i="23200"/>
  <c r="G27" i="23200"/>
  <c r="N27" i="23200"/>
  <c r="I51" i="23200"/>
  <c r="O51" i="23200"/>
  <c r="D51" i="23200"/>
  <c r="E51" i="23200"/>
  <c r="K51" i="23200"/>
  <c r="F51" i="23200"/>
  <c r="L51" i="23200"/>
  <c r="G51" i="23200"/>
  <c r="M51" i="23200"/>
  <c r="J51" i="23200"/>
  <c r="H51" i="23200"/>
  <c r="N51" i="23200"/>
  <c r="C51" i="23200"/>
  <c r="F320" i="23198"/>
  <c r="F332" i="23198"/>
  <c r="F408" i="23198"/>
  <c r="F321" i="23198"/>
  <c r="F374" i="23198"/>
  <c r="F383" i="23198"/>
  <c r="F348" i="23198"/>
  <c r="F371" i="23198"/>
  <c r="F340" i="23198"/>
  <c r="F318" i="23198"/>
  <c r="F357" i="23198"/>
  <c r="F375" i="23198"/>
  <c r="F354" i="23198"/>
  <c r="F336" i="23198"/>
  <c r="F319" i="23198"/>
  <c r="F378" i="23198"/>
  <c r="F353" i="23198"/>
  <c r="F393" i="23198"/>
  <c r="F358" i="23198"/>
  <c r="F342" i="23198"/>
  <c r="F372" i="23198"/>
  <c r="F390" i="23198"/>
  <c r="F323" i="23198"/>
  <c r="F326" i="23198"/>
  <c r="F314" i="23198"/>
  <c r="F346" i="23198"/>
  <c r="F367" i="23198"/>
  <c r="F311" i="23198"/>
  <c r="F405" i="23198"/>
  <c r="F384" i="23198"/>
  <c r="F401" i="23198"/>
  <c r="D94" i="23198"/>
  <c r="X21" i="23184"/>
  <c r="M21" i="23184"/>
  <c r="J21" i="23184"/>
  <c r="AH21" i="23184"/>
  <c r="U21" i="23184"/>
  <c r="R21" i="23184"/>
  <c r="F21" i="23184"/>
  <c r="B20" i="23184"/>
  <c r="O21" i="23184"/>
  <c r="Y21" i="23184"/>
  <c r="K21" i="23184"/>
  <c r="AE21" i="23184"/>
  <c r="Z21" i="23184"/>
  <c r="AD21" i="23184"/>
  <c r="AO21" i="23184"/>
  <c r="AF21" i="23184"/>
  <c r="N21" i="23184"/>
  <c r="S21" i="23184"/>
  <c r="AG21" i="23184"/>
  <c r="I21" i="23184"/>
  <c r="E21" i="23184"/>
  <c r="G21" i="23184"/>
  <c r="P21" i="23184"/>
  <c r="AL21" i="23184"/>
  <c r="L21" i="23184"/>
  <c r="AI21" i="23184"/>
  <c r="AC21" i="23184"/>
  <c r="AB21" i="23184"/>
  <c r="AM21" i="23184"/>
  <c r="AK21" i="23184"/>
  <c r="N44" i="23200"/>
  <c r="O44" i="23200"/>
  <c r="D44" i="23200"/>
  <c r="C44" i="23200"/>
  <c r="E44" i="23200"/>
  <c r="F44" i="23200"/>
  <c r="H44" i="23200"/>
  <c r="I44" i="23200"/>
  <c r="J44" i="23200"/>
  <c r="K44" i="23200"/>
  <c r="L44" i="23200"/>
  <c r="M44" i="23200"/>
  <c r="G44" i="23200"/>
  <c r="F239" i="23198"/>
  <c r="CT24" i="23183"/>
  <c r="CZ24" i="23183" s="1"/>
  <c r="CT23" i="23183"/>
  <c r="CZ23" i="23183" s="1"/>
  <c r="D322" i="23198"/>
  <c r="AI78" i="23184"/>
  <c r="AE78" i="23184"/>
  <c r="Z78" i="23184"/>
  <c r="AK78" i="23184"/>
  <c r="B77" i="23184"/>
  <c r="AU78" i="23184"/>
  <c r="K78" i="23184"/>
  <c r="E78" i="23184"/>
  <c r="Y78" i="23184"/>
  <c r="T78" i="23184"/>
  <c r="S78" i="23184"/>
  <c r="AL78" i="23184"/>
  <c r="H78" i="23184"/>
  <c r="AG78" i="23184"/>
  <c r="U78" i="23184"/>
  <c r="AP78" i="23184"/>
  <c r="AA78" i="23184"/>
  <c r="AH78" i="23184"/>
  <c r="L78" i="23184"/>
  <c r="R78" i="23184"/>
  <c r="I78" i="23184"/>
  <c r="AJ78" i="23184"/>
  <c r="AF78" i="23184"/>
  <c r="J78" i="23184"/>
  <c r="M78" i="23184"/>
  <c r="AO78" i="23184"/>
  <c r="AN78" i="23184"/>
  <c r="X78" i="23184"/>
  <c r="P78" i="23184"/>
  <c r="AC78" i="23184"/>
  <c r="O78" i="23184"/>
  <c r="AB78" i="23184"/>
  <c r="V78" i="23184"/>
  <c r="AS78" i="23184"/>
  <c r="AD78" i="23184"/>
  <c r="AM78" i="23184"/>
  <c r="Q78" i="23184"/>
  <c r="G78" i="23184"/>
  <c r="N78" i="23184"/>
  <c r="F78" i="23184"/>
  <c r="D278" i="23198"/>
  <c r="D272" i="23198"/>
  <c r="D270" i="23198"/>
  <c r="D276" i="23198"/>
  <c r="D275" i="23198"/>
  <c r="D277" i="23198"/>
  <c r="D279" i="23198"/>
  <c r="F26" i="23201"/>
  <c r="D26" i="23201" s="1"/>
  <c r="E26" i="23201"/>
  <c r="CT22" i="23183"/>
  <c r="CZ22" i="23183" s="1"/>
  <c r="E52" i="23201"/>
  <c r="F52" i="23201"/>
  <c r="D52" i="23201" s="1"/>
  <c r="F64" i="23201"/>
  <c r="D64" i="23201" s="1"/>
  <c r="E64" i="23201"/>
  <c r="D332" i="23198"/>
  <c r="D325" i="23198"/>
  <c r="D393" i="23198"/>
  <c r="D355" i="23198"/>
  <c r="D348" i="23198"/>
  <c r="D380" i="23198"/>
  <c r="D357" i="23198"/>
  <c r="D369" i="23198"/>
  <c r="D353" i="23198"/>
  <c r="D408" i="23198"/>
  <c r="D314" i="23198"/>
  <c r="D404" i="23198"/>
  <c r="D343" i="23198"/>
  <c r="D405" i="23198"/>
  <c r="D378" i="23198"/>
  <c r="D377" i="23198"/>
  <c r="D403" i="23198"/>
  <c r="D321" i="23198"/>
  <c r="D338" i="23198"/>
  <c r="D350" i="23198"/>
  <c r="D365" i="23198"/>
  <c r="D324" i="23198"/>
  <c r="D391" i="23198"/>
  <c r="D333" i="23198"/>
  <c r="D374" i="23198"/>
  <c r="D342" i="23198"/>
  <c r="D336" i="23198"/>
  <c r="D345" i="23198"/>
  <c r="D319" i="23198"/>
  <c r="D341" i="23198"/>
  <c r="D366" i="23198"/>
  <c r="D367" i="23198"/>
  <c r="D360" i="23198"/>
  <c r="D313" i="23198"/>
  <c r="D372" i="23198"/>
  <c r="D337" i="23198"/>
  <c r="D356" i="23198"/>
  <c r="D384" i="23198"/>
  <c r="D390" i="23198"/>
  <c r="D386" i="23198"/>
  <c r="D331" i="23198"/>
  <c r="D401" i="23198"/>
  <c r="D317" i="23198"/>
  <c r="D326" i="23198"/>
  <c r="D398" i="23198"/>
  <c r="D368" i="23198"/>
  <c r="D318" i="23198"/>
  <c r="D320" i="23198"/>
  <c r="D312" i="23198"/>
  <c r="D389" i="23198"/>
  <c r="D396" i="23198"/>
  <c r="D402" i="23198"/>
  <c r="D354" i="23198"/>
  <c r="D375" i="23198"/>
  <c r="D381" i="23198"/>
  <c r="D392" i="23198"/>
  <c r="D379" i="23198"/>
  <c r="D362" i="23198"/>
  <c r="D344" i="23198"/>
  <c r="D329" i="23198"/>
  <c r="D387" i="23198"/>
  <c r="D330" i="23198"/>
  <c r="D417" i="23198"/>
  <c r="D429" i="23198"/>
  <c r="D436" i="23198"/>
  <c r="D441" i="23198"/>
  <c r="D452" i="23198"/>
  <c r="D490" i="23198"/>
  <c r="D421" i="23198"/>
  <c r="D518" i="23198"/>
  <c r="D491" i="23198"/>
  <c r="D427" i="23198"/>
  <c r="D439" i="23198"/>
  <c r="D446" i="23198"/>
  <c r="D475" i="23198"/>
  <c r="D470" i="23198"/>
  <c r="D443" i="23198"/>
  <c r="D444" i="23198"/>
  <c r="D481" i="23198"/>
  <c r="D418" i="23198"/>
  <c r="D456" i="23198"/>
  <c r="D493" i="23198"/>
  <c r="D426" i="23198"/>
  <c r="D511" i="23198"/>
  <c r="D486" i="23198"/>
  <c r="D515" i="23198"/>
  <c r="D485" i="23198"/>
  <c r="D431" i="23198"/>
  <c r="D487" i="23198"/>
  <c r="D448" i="23198"/>
  <c r="D430" i="23198"/>
  <c r="D468" i="23198"/>
  <c r="D505" i="23198"/>
  <c r="D467" i="23198"/>
  <c r="D428" i="23198"/>
  <c r="D420" i="23198"/>
  <c r="D453" i="23198"/>
  <c r="D461" i="23198"/>
  <c r="D471" i="23198"/>
  <c r="D424" i="23198"/>
  <c r="D440" i="23198"/>
  <c r="D432" i="23198"/>
  <c r="D438" i="23198"/>
  <c r="D464" i="23198"/>
  <c r="D480" i="23198"/>
  <c r="D423" i="23198"/>
  <c r="D422" i="23198"/>
  <c r="D476" i="23198"/>
  <c r="D492" i="23198"/>
  <c r="D455" i="23198"/>
  <c r="D460" i="23198"/>
  <c r="D506" i="23198"/>
  <c r="D435" i="23198"/>
  <c r="D451" i="23198"/>
  <c r="D419" i="23198"/>
  <c r="D497" i="23198"/>
  <c r="D504" i="23198"/>
  <c r="D473" i="23198"/>
  <c r="D454" i="23198"/>
  <c r="D445" i="23198"/>
  <c r="D499" i="23198"/>
  <c r="D472" i="23198"/>
  <c r="D437" i="23198"/>
  <c r="D459" i="23198"/>
  <c r="D463" i="23198"/>
  <c r="D495" i="23198"/>
  <c r="D457" i="23198"/>
  <c r="D450" i="23198"/>
  <c r="D449" i="23198"/>
  <c r="D434" i="23198"/>
  <c r="D507" i="23198"/>
  <c r="D469" i="23198"/>
  <c r="D477" i="23198"/>
  <c r="D474" i="23198"/>
  <c r="D517" i="23198"/>
  <c r="D510" i="23198"/>
  <c r="D509" i="23198"/>
  <c r="D494" i="23198"/>
  <c r="D479" i="23198"/>
  <c r="D425" i="23198"/>
  <c r="D442" i="23198"/>
  <c r="D466" i="23198"/>
  <c r="D478" i="23198"/>
  <c r="D498" i="23198"/>
  <c r="D514" i="23198"/>
  <c r="D482" i="23198"/>
  <c r="D433" i="23198"/>
  <c r="D447" i="23198"/>
  <c r="D462" i="23198"/>
  <c r="D502" i="23198"/>
  <c r="D458" i="23198"/>
  <c r="D516" i="23198"/>
  <c r="D503" i="23198"/>
  <c r="D483" i="23198"/>
  <c r="D334" i="23198"/>
  <c r="D323" i="23198"/>
  <c r="D501" i="23198"/>
  <c r="I65" i="23200"/>
  <c r="J65" i="23200"/>
  <c r="D65" i="23200"/>
  <c r="E65" i="23200"/>
  <c r="F65" i="23200"/>
  <c r="G65" i="23200"/>
  <c r="H65" i="23200"/>
  <c r="M65" i="23200"/>
  <c r="N65" i="23200"/>
  <c r="O65" i="23200"/>
  <c r="K65" i="23200"/>
  <c r="C65" i="23200"/>
  <c r="L65" i="23200"/>
  <c r="D364" i="23198"/>
  <c r="D500" i="23198"/>
  <c r="D30" i="23201"/>
  <c r="D310" i="23198"/>
  <c r="D346" i="23198"/>
  <c r="D335" i="23198"/>
  <c r="D513" i="23198"/>
  <c r="D407" i="23198"/>
  <c r="D262" i="23198"/>
  <c r="D264" i="23198"/>
  <c r="O26" i="23200"/>
  <c r="L26" i="23200"/>
  <c r="N26" i="23200"/>
  <c r="C26" i="23200"/>
  <c r="E26" i="23200"/>
  <c r="F26" i="23200"/>
  <c r="H26" i="23200"/>
  <c r="G26" i="23200"/>
  <c r="I26" i="23200"/>
  <c r="D26" i="23200"/>
  <c r="M26" i="23200"/>
  <c r="J26" i="23200"/>
  <c r="K26" i="23200"/>
  <c r="H50" i="23199"/>
  <c r="D50" i="23199"/>
  <c r="C50" i="23199"/>
  <c r="E50" i="23199"/>
  <c r="G50" i="23199"/>
  <c r="F50" i="23199"/>
  <c r="G62" i="23199"/>
  <c r="H62" i="23199"/>
  <c r="D62" i="23199"/>
  <c r="C62" i="23199"/>
  <c r="E62" i="23199"/>
  <c r="F62" i="23199"/>
  <c r="AF63" i="23184"/>
  <c r="X63" i="23184"/>
  <c r="B62" i="23184"/>
  <c r="U63" i="23184"/>
  <c r="AB63" i="23184"/>
  <c r="M63" i="23184"/>
  <c r="AG63" i="23184"/>
  <c r="AH63" i="23184"/>
  <c r="E63" i="23184"/>
  <c r="G63" i="23184"/>
  <c r="AI63" i="23184"/>
  <c r="Z63" i="23184"/>
  <c r="AO63" i="23184"/>
  <c r="AC63" i="23184"/>
  <c r="P63" i="23184"/>
  <c r="Y63" i="23184"/>
  <c r="N63" i="23184"/>
  <c r="L63" i="23184"/>
  <c r="K63" i="23184"/>
  <c r="AM63" i="23184"/>
  <c r="AJ63" i="23184"/>
  <c r="O63" i="23184"/>
  <c r="V63" i="23184"/>
  <c r="R63" i="23184"/>
  <c r="Q63" i="23184"/>
  <c r="AK63" i="23184"/>
  <c r="AS63" i="23184"/>
  <c r="AL63" i="23184"/>
  <c r="AP63" i="23184"/>
  <c r="AU63" i="23184"/>
  <c r="I63" i="23184"/>
  <c r="AD63" i="23184"/>
  <c r="J63" i="23184"/>
  <c r="T63" i="23184"/>
  <c r="AA63" i="23184"/>
  <c r="AN63" i="23184"/>
  <c r="S63" i="23184"/>
  <c r="H63" i="23184"/>
  <c r="AE63" i="23184"/>
  <c r="F63" i="23184"/>
  <c r="D376" i="23198"/>
  <c r="D40" i="23200"/>
  <c r="E40" i="23200"/>
  <c r="K40" i="23200"/>
  <c r="F40" i="23200"/>
  <c r="L40" i="23200"/>
  <c r="G40" i="23200"/>
  <c r="M40" i="23200"/>
  <c r="H40" i="23200"/>
  <c r="O40" i="23200"/>
  <c r="I40" i="23200"/>
  <c r="N40" i="23200"/>
  <c r="J40" i="23200"/>
  <c r="C40" i="23200"/>
  <c r="D339" i="23198"/>
  <c r="D484" i="23198"/>
  <c r="CS23" i="23183"/>
  <c r="CY23" i="23183" s="1"/>
  <c r="D358" i="23198"/>
  <c r="D347" i="23198"/>
  <c r="D316" i="23198"/>
  <c r="M29" i="23200"/>
  <c r="H29" i="23200"/>
  <c r="N29" i="23200"/>
  <c r="C29" i="23200"/>
  <c r="I29" i="23200"/>
  <c r="O29" i="23200"/>
  <c r="J29" i="23200"/>
  <c r="L29" i="23200"/>
  <c r="D29" i="23200"/>
  <c r="K29" i="23200"/>
  <c r="E29" i="23200"/>
  <c r="G29" i="23200"/>
  <c r="F29" i="23200"/>
  <c r="F41" i="23201"/>
  <c r="C41" i="23201" s="1"/>
  <c r="E41" i="23201"/>
  <c r="D66" i="23201"/>
  <c r="D263" i="23198"/>
  <c r="D400" i="23198"/>
  <c r="F17" i="23200"/>
  <c r="N17" i="23200"/>
  <c r="G17" i="23200"/>
  <c r="H17" i="23200"/>
  <c r="I17" i="23200"/>
  <c r="K17" i="23200"/>
  <c r="J17" i="23200"/>
  <c r="L17" i="23200"/>
  <c r="E17" i="23200"/>
  <c r="O17" i="23200"/>
  <c r="M17" i="23200"/>
  <c r="D17" i="23200"/>
  <c r="C17" i="23200"/>
  <c r="H52" i="23200"/>
  <c r="M52" i="23200"/>
  <c r="I52" i="23200"/>
  <c r="N52" i="23200"/>
  <c r="J52" i="23200"/>
  <c r="O52" i="23200"/>
  <c r="C52" i="23200"/>
  <c r="D52" i="23200"/>
  <c r="E52" i="23200"/>
  <c r="G52" i="23200"/>
  <c r="L52" i="23200"/>
  <c r="K52" i="23200"/>
  <c r="F52" i="23200"/>
  <c r="D496" i="23198"/>
  <c r="CR24" i="23183"/>
  <c r="CX24" i="23183" s="1"/>
  <c r="D370" i="23198"/>
  <c r="D359" i="23198"/>
  <c r="D488" i="23198"/>
  <c r="D328" i="23198"/>
  <c r="D382" i="23198"/>
  <c r="D223" i="23198"/>
  <c r="D234" i="23198"/>
  <c r="D244" i="23198"/>
  <c r="D238" i="23198"/>
  <c r="D243" i="23198"/>
  <c r="D235" i="23198"/>
  <c r="D240" i="23198"/>
  <c r="AN27" i="23184"/>
  <c r="AS27" i="23184"/>
  <c r="L27" i="23184"/>
  <c r="N27" i="23184"/>
  <c r="E27" i="23184"/>
  <c r="O27" i="23184"/>
  <c r="J27" i="23184"/>
  <c r="Z27" i="23184"/>
  <c r="AF27" i="23184"/>
  <c r="AJ27" i="23184"/>
  <c r="AM27" i="23184"/>
  <c r="I27" i="23184"/>
  <c r="AA27" i="23184"/>
  <c r="F27" i="23184"/>
  <c r="AL27" i="23184"/>
  <c r="AK27" i="23184"/>
  <c r="X27" i="23184"/>
  <c r="K27" i="23184"/>
  <c r="AB27" i="23184"/>
  <c r="AO27" i="23184"/>
  <c r="S27" i="23184"/>
  <c r="AH27" i="23184"/>
  <c r="AP27" i="23184"/>
  <c r="Y27" i="23184"/>
  <c r="M27" i="23184"/>
  <c r="Q27" i="23184"/>
  <c r="AC27" i="23184"/>
  <c r="U27" i="23184"/>
  <c r="AE27" i="23184"/>
  <c r="T27" i="23184"/>
  <c r="AG27" i="23184"/>
  <c r="AD27" i="23184"/>
  <c r="R27" i="23184"/>
  <c r="AU27" i="23184"/>
  <c r="AI27" i="23184"/>
  <c r="G27" i="23184"/>
  <c r="P27" i="23184"/>
  <c r="V27" i="23184"/>
  <c r="B26" i="23184"/>
  <c r="H27" i="23184"/>
  <c r="D163" i="23198"/>
  <c r="C38" i="23198" s="1"/>
  <c r="D227" i="23198"/>
  <c r="F138" i="23198"/>
  <c r="D508" i="23198"/>
  <c r="CR23" i="23183"/>
  <c r="CX23" i="23183" s="1"/>
  <c r="D406" i="23198"/>
  <c r="D371" i="23198"/>
  <c r="D512" i="23198"/>
  <c r="D340" i="23198"/>
  <c r="F53" i="23201"/>
  <c r="D53" i="23201" s="1"/>
  <c r="E53" i="23201"/>
  <c r="D394" i="23198"/>
  <c r="D239" i="23198"/>
  <c r="D100" i="23198"/>
  <c r="AF29" i="23184"/>
  <c r="J29" i="23184"/>
  <c r="AI29" i="23184"/>
  <c r="Z29" i="23184"/>
  <c r="AG29" i="23184"/>
  <c r="H29" i="23184"/>
  <c r="Y29" i="23184"/>
  <c r="R29" i="23184"/>
  <c r="G29" i="23184"/>
  <c r="AB29" i="23184"/>
  <c r="S29" i="23184"/>
  <c r="T29" i="23184"/>
  <c r="P29" i="23184"/>
  <c r="F29" i="23184"/>
  <c r="B28" i="23184"/>
  <c r="K29" i="23184"/>
  <c r="X29" i="23184"/>
  <c r="AL29" i="23184"/>
  <c r="V29" i="23184"/>
  <c r="O29" i="23184"/>
  <c r="AJ29" i="23184"/>
  <c r="AC29" i="23184"/>
  <c r="AM29" i="23184"/>
  <c r="AE29" i="23184"/>
  <c r="AO29" i="23184"/>
  <c r="M29" i="23184"/>
  <c r="AS29" i="23184"/>
  <c r="I29" i="23184"/>
  <c r="U29" i="23184"/>
  <c r="Q29" i="23184"/>
  <c r="AN29" i="23184"/>
  <c r="AA29" i="23184"/>
  <c r="AK29" i="23184"/>
  <c r="AH29" i="23184"/>
  <c r="E29" i="23184"/>
  <c r="AU29" i="23184"/>
  <c r="N29" i="23184"/>
  <c r="AD29" i="23184"/>
  <c r="L29" i="23184"/>
  <c r="AP29" i="23184"/>
  <c r="D349" i="23198"/>
  <c r="D465" i="23198"/>
  <c r="E18" i="23201"/>
  <c r="F18" i="23201"/>
  <c r="D383" i="23198"/>
  <c r="D315" i="23198"/>
  <c r="D352" i="23198"/>
  <c r="D95" i="23198"/>
  <c r="E38" i="23199"/>
  <c r="F38" i="23199"/>
  <c r="G38" i="23199"/>
  <c r="H38" i="23199"/>
  <c r="D38" i="23199"/>
  <c r="C38" i="23199"/>
  <c r="E40" i="23199"/>
  <c r="F40" i="23199"/>
  <c r="G40" i="23199"/>
  <c r="H40" i="23199"/>
  <c r="C40" i="23199"/>
  <c r="D40" i="23199"/>
  <c r="D52" i="23199"/>
  <c r="C52" i="23199"/>
  <c r="F52" i="23199"/>
  <c r="H52" i="23199"/>
  <c r="E52" i="23199"/>
  <c r="G52" i="23199"/>
  <c r="D174" i="23198"/>
  <c r="D175" i="23198"/>
  <c r="D173" i="23198"/>
  <c r="D176" i="23198"/>
  <c r="D179" i="23198"/>
  <c r="D172" i="23198"/>
  <c r="D171" i="23198"/>
  <c r="D290" i="23198"/>
  <c r="D285" i="23198"/>
  <c r="D303" i="23198"/>
  <c r="D300" i="23198"/>
  <c r="D288" i="23198"/>
  <c r="D289" i="23198"/>
  <c r="D301" i="23198"/>
  <c r="D302" i="23198"/>
  <c r="D294" i="23198"/>
  <c r="D295" i="23198"/>
  <c r="D298" i="23198"/>
  <c r="D296" i="23198"/>
  <c r="D291" i="23198"/>
  <c r="D297" i="23198"/>
  <c r="D292" i="23198"/>
  <c r="D286" i="23198"/>
  <c r="D304" i="23198"/>
  <c r="D287" i="23198"/>
  <c r="D293" i="23198"/>
  <c r="D299" i="23198"/>
  <c r="D361" i="23198"/>
  <c r="D489" i="23198"/>
  <c r="D395" i="23198"/>
  <c r="D327" i="23198"/>
  <c r="D388" i="23198"/>
  <c r="D97" i="23198"/>
  <c r="F62" i="23200"/>
  <c r="G62" i="23200"/>
  <c r="I62" i="23200"/>
  <c r="J62" i="23200"/>
  <c r="D62" i="23200"/>
  <c r="K62" i="23200"/>
  <c r="E62" i="23200"/>
  <c r="N62" i="23200"/>
  <c r="H62" i="23200"/>
  <c r="O62" i="23200"/>
  <c r="L62" i="23200"/>
  <c r="M62" i="23200"/>
  <c r="C62" i="23200"/>
  <c r="C17" i="23199"/>
  <c r="E17" i="23199"/>
  <c r="D64" i="23199"/>
  <c r="C64" i="23199"/>
  <c r="E64" i="23199"/>
  <c r="G64" i="23199"/>
  <c r="F64" i="23199"/>
  <c r="H64" i="23199"/>
  <c r="AD65" i="23184"/>
  <c r="AB65" i="23184"/>
  <c r="AA65" i="23184"/>
  <c r="Q65" i="23184"/>
  <c r="R65" i="23184"/>
  <c r="K65" i="23184"/>
  <c r="AJ65" i="23184"/>
  <c r="S65" i="23184"/>
  <c r="AE65" i="23184"/>
  <c r="T65" i="23184"/>
  <c r="U65" i="23184"/>
  <c r="E65" i="23184"/>
  <c r="N65" i="23184"/>
  <c r="AG65" i="23184"/>
  <c r="Z65" i="23184"/>
  <c r="AI65" i="23184"/>
  <c r="AC65" i="23184"/>
  <c r="P65" i="23184"/>
  <c r="I65" i="23184"/>
  <c r="AH65" i="23184"/>
  <c r="G65" i="23184"/>
  <c r="AN65" i="23184"/>
  <c r="F65" i="23184"/>
  <c r="AK65" i="23184"/>
  <c r="Y65" i="23184"/>
  <c r="AF65" i="23184"/>
  <c r="AU65" i="23184"/>
  <c r="AP65" i="23184"/>
  <c r="B64" i="23184"/>
  <c r="H65" i="23184"/>
  <c r="AM65" i="23184"/>
  <c r="O65" i="23184"/>
  <c r="AO65" i="23184"/>
  <c r="L65" i="23184"/>
  <c r="M65" i="23184"/>
  <c r="X65" i="23184"/>
  <c r="AS65" i="23184"/>
  <c r="V65" i="23184"/>
  <c r="J65" i="23184"/>
  <c r="AL65" i="23184"/>
  <c r="D162" i="23198"/>
  <c r="C41" i="23198" s="1"/>
  <c r="F299" i="23198"/>
  <c r="D373" i="23198"/>
  <c r="D219" i="23198"/>
  <c r="D218" i="23198"/>
  <c r="D224" i="23198"/>
  <c r="D221" i="23198"/>
  <c r="D220" i="23198"/>
  <c r="D222" i="23198"/>
  <c r="D351" i="23198"/>
  <c r="D274" i="23198"/>
  <c r="D99" i="23198"/>
  <c r="E15" i="23195"/>
  <c r="D17" i="23208" s="1"/>
  <c r="H25" i="23208" s="1"/>
  <c r="D16" i="23208"/>
  <c r="H26" i="23208" s="1"/>
  <c r="D410" i="23198"/>
  <c r="D363" i="23198"/>
  <c r="B53" i="23184"/>
  <c r="Z54" i="23184"/>
  <c r="I54" i="23184"/>
  <c r="AH54" i="23184"/>
  <c r="L54" i="23184"/>
  <c r="AG54" i="23184"/>
  <c r="E54" i="23184"/>
  <c r="K54" i="23184"/>
  <c r="J54" i="23184"/>
  <c r="AF54" i="23184"/>
  <c r="Y54" i="23184"/>
  <c r="X54" i="23184"/>
  <c r="G54" i="23184"/>
  <c r="AE54" i="23184"/>
  <c r="S54" i="23184"/>
  <c r="H54" i="23184"/>
  <c r="AB54" i="23184"/>
  <c r="T54" i="23184"/>
  <c r="N54" i="23184"/>
  <c r="AI54" i="23184"/>
  <c r="AD54" i="23184"/>
  <c r="O54" i="23184"/>
  <c r="V54" i="23184"/>
  <c r="AA54" i="23184"/>
  <c r="AC54" i="23184"/>
  <c r="P54" i="23184"/>
  <c r="R54" i="23184"/>
  <c r="F54" i="23184"/>
  <c r="Q54" i="23184"/>
  <c r="AJ54" i="23184"/>
  <c r="M54" i="23184"/>
  <c r="U54" i="23184"/>
  <c r="AO54" i="23184"/>
  <c r="AN54" i="23184"/>
  <c r="AU54" i="23184"/>
  <c r="AS54" i="23184"/>
  <c r="AM54" i="23184"/>
  <c r="AL54" i="23184"/>
  <c r="AK54" i="23184"/>
  <c r="AP54" i="23184"/>
  <c r="D385" i="23198"/>
  <c r="R51" i="23184"/>
  <c r="L51" i="23184"/>
  <c r="AA51" i="23184"/>
  <c r="AH51" i="23184"/>
  <c r="J51" i="23184"/>
  <c r="X51" i="23184"/>
  <c r="N51" i="23184"/>
  <c r="AB51" i="23184"/>
  <c r="AS51" i="23184"/>
  <c r="AF51" i="23184"/>
  <c r="AD51" i="23184"/>
  <c r="O51" i="23184"/>
  <c r="AI51" i="23184"/>
  <c r="M51" i="23184"/>
  <c r="G51" i="23184"/>
  <c r="AN51" i="23184"/>
  <c r="AL51" i="23184"/>
  <c r="AG51" i="23184"/>
  <c r="P51" i="23184"/>
  <c r="AC51" i="23184"/>
  <c r="AK51" i="23184"/>
  <c r="U51" i="23184"/>
  <c r="AO51" i="23184"/>
  <c r="AU51" i="23184"/>
  <c r="E51" i="23184"/>
  <c r="S51" i="23184"/>
  <c r="Q51" i="23184"/>
  <c r="K51" i="23184"/>
  <c r="Y51" i="23184"/>
  <c r="AM51" i="23184"/>
  <c r="AE51" i="23184"/>
  <c r="H51" i="23184"/>
  <c r="AJ51" i="23184"/>
  <c r="B50" i="23184"/>
  <c r="Z51" i="23184"/>
  <c r="V51" i="23184"/>
  <c r="T51" i="23184"/>
  <c r="F51" i="23184"/>
  <c r="AP51" i="23184"/>
  <c r="I51" i="23184"/>
  <c r="CS22" i="23183"/>
  <c r="CY22" i="23183" s="1"/>
  <c r="D399" i="23198"/>
  <c r="H53" i="23199"/>
  <c r="C53" i="23199"/>
  <c r="F53" i="23199"/>
  <c r="D53" i="23199"/>
  <c r="E53" i="23199"/>
  <c r="G53" i="23199"/>
  <c r="AC66" i="23184"/>
  <c r="Z66" i="23184"/>
  <c r="AE66" i="23184"/>
  <c r="G66" i="23184"/>
  <c r="J66" i="23184"/>
  <c r="H66" i="23184"/>
  <c r="P66" i="23184"/>
  <c r="O66" i="23184"/>
  <c r="V66" i="23184"/>
  <c r="AJ66" i="23184"/>
  <c r="Q66" i="23184"/>
  <c r="B65" i="23184"/>
  <c r="M66" i="23184"/>
  <c r="AB66" i="23184"/>
  <c r="AG66" i="23184"/>
  <c r="L66" i="23184"/>
  <c r="N66" i="23184"/>
  <c r="AF66" i="23184"/>
  <c r="F66" i="23184"/>
  <c r="K66" i="23184"/>
  <c r="AI66" i="23184"/>
  <c r="AD66" i="23184"/>
  <c r="S66" i="23184"/>
  <c r="I66" i="23184"/>
  <c r="AH66" i="23184"/>
  <c r="Y66" i="23184"/>
  <c r="U66" i="23184"/>
  <c r="AP66" i="23184"/>
  <c r="AL66" i="23184"/>
  <c r="T66" i="23184"/>
  <c r="R66" i="23184"/>
  <c r="AN66" i="23184"/>
  <c r="X66" i="23184"/>
  <c r="AK66" i="23184"/>
  <c r="AU66" i="23184"/>
  <c r="AA66" i="23184"/>
  <c r="E66" i="23184"/>
  <c r="AO66" i="23184"/>
  <c r="AS66" i="23184"/>
  <c r="AM66" i="23184"/>
  <c r="D397" i="23198"/>
  <c r="F40" i="23201"/>
  <c r="C40" i="23201" s="1"/>
  <c r="E40" i="23201"/>
  <c r="AJ53" i="23184"/>
  <c r="G53" i="23184"/>
  <c r="E53" i="23184"/>
  <c r="Q53" i="23184"/>
  <c r="AG53" i="23184"/>
  <c r="AD53" i="23184"/>
  <c r="AI53" i="23184"/>
  <c r="N53" i="23184"/>
  <c r="R53" i="23184"/>
  <c r="AC53" i="23184"/>
  <c r="I53" i="23184"/>
  <c r="P53" i="23184"/>
  <c r="S53" i="23184"/>
  <c r="T53" i="23184"/>
  <c r="AH53" i="23184"/>
  <c r="AF53" i="23184"/>
  <c r="Z53" i="23184"/>
  <c r="F53" i="23184"/>
  <c r="U53" i="23184"/>
  <c r="O53" i="23184"/>
  <c r="AB53" i="23184"/>
  <c r="V53" i="23184"/>
  <c r="Y53" i="23184"/>
  <c r="X53" i="23184"/>
  <c r="L53" i="23184"/>
  <c r="B52" i="23184"/>
  <c r="AE53" i="23184"/>
  <c r="H53" i="23184"/>
  <c r="M53" i="23184"/>
  <c r="AS53" i="23184"/>
  <c r="AA53" i="23184"/>
  <c r="AO53" i="23184"/>
  <c r="J53" i="23184"/>
  <c r="AK53" i="23184"/>
  <c r="K53" i="23184"/>
  <c r="AU53" i="23184"/>
  <c r="AP53" i="23184"/>
  <c r="AN53" i="23184"/>
  <c r="AL53" i="23184"/>
  <c r="AM53" i="23184"/>
  <c r="F25" i="23208"/>
  <c r="D161" i="23198"/>
  <c r="D411" i="23198"/>
  <c r="F17" i="23201"/>
  <c r="E17" i="23201"/>
  <c r="H41" i="23200"/>
  <c r="M41" i="23200"/>
  <c r="I41" i="23200"/>
  <c r="N41" i="23200"/>
  <c r="J41" i="23200"/>
  <c r="O41" i="23200"/>
  <c r="C41" i="23200"/>
  <c r="D41" i="23200"/>
  <c r="K41" i="23200"/>
  <c r="E41" i="23200"/>
  <c r="L41" i="23200"/>
  <c r="F41" i="23200"/>
  <c r="G41" i="23200"/>
  <c r="E38" i="23200"/>
  <c r="F38" i="23200"/>
  <c r="H38" i="23200"/>
  <c r="G38" i="23200"/>
  <c r="N38" i="23200"/>
  <c r="I38" i="23200"/>
  <c r="O38" i="23200"/>
  <c r="J38" i="23200"/>
  <c r="K38" i="23200"/>
  <c r="D38" i="23200"/>
  <c r="M38" i="23200"/>
  <c r="C38" i="23200"/>
  <c r="L38" i="23200"/>
  <c r="D409" i="23198"/>
  <c r="AJ39" i="23184"/>
  <c r="O39" i="23184"/>
  <c r="AI39" i="23184"/>
  <c r="Q39" i="23184"/>
  <c r="G39" i="23184"/>
  <c r="M39" i="23184"/>
  <c r="F39" i="23184"/>
  <c r="AE39" i="23184"/>
  <c r="P39" i="23184"/>
  <c r="B38" i="23184"/>
  <c r="AH39" i="23184"/>
  <c r="L39" i="23184"/>
  <c r="AP39" i="23184"/>
  <c r="AC39" i="23184"/>
  <c r="Z39" i="23184"/>
  <c r="AB39" i="23184"/>
  <c r="H39" i="23184"/>
  <c r="X39" i="23184"/>
  <c r="S39" i="23184"/>
  <c r="AG39" i="23184"/>
  <c r="Y39" i="23184"/>
  <c r="T39" i="23184"/>
  <c r="U39" i="23184"/>
  <c r="AN39" i="23184"/>
  <c r="AO39" i="23184"/>
  <c r="E39" i="23184"/>
  <c r="AS39" i="23184"/>
  <c r="J39" i="23184"/>
  <c r="V39" i="23184"/>
  <c r="AK39" i="23184"/>
  <c r="AA39" i="23184"/>
  <c r="N39" i="23184"/>
  <c r="AL39" i="23184"/>
  <c r="AM39" i="23184"/>
  <c r="AF39" i="23184"/>
  <c r="AD39" i="23184"/>
  <c r="I39" i="23184"/>
  <c r="R39" i="23184"/>
  <c r="AU39" i="23184"/>
  <c r="K39" i="23184"/>
  <c r="H28" i="23199"/>
  <c r="D28" i="23199"/>
  <c r="C28" i="23199"/>
  <c r="E28" i="23199"/>
  <c r="F28" i="23199"/>
  <c r="G28" i="23199"/>
  <c r="AN23" i="23184" l="1"/>
  <c r="AP23" i="23184" s="1"/>
  <c r="Q24" i="23184"/>
  <c r="AA23" i="23184"/>
  <c r="Q23" i="23184"/>
  <c r="T23" i="23184" s="1"/>
  <c r="AJ24" i="23184"/>
  <c r="H24" i="23184"/>
  <c r="H17" i="23184"/>
  <c r="AU17" i="23184" s="1"/>
  <c r="C12" i="23199"/>
  <c r="F18" i="23199"/>
  <c r="F17" i="23199" s="1"/>
  <c r="F16" i="23199" s="1"/>
  <c r="F15" i="23199" s="1"/>
  <c r="F14" i="23199" s="1"/>
  <c r="F13" i="23199" s="1"/>
  <c r="F12" i="23199" s="1"/>
  <c r="AA18" i="23184"/>
  <c r="AV18" i="23184" s="1"/>
  <c r="F229" i="23198"/>
  <c r="AA22" i="23184"/>
  <c r="G21" i="23199" s="1"/>
  <c r="AJ22" i="23184"/>
  <c r="AA24" i="23184"/>
  <c r="F294" i="23198"/>
  <c r="F291" i="23198"/>
  <c r="F286" i="23198"/>
  <c r="F285" i="23198"/>
  <c r="F304" i="23198"/>
  <c r="F296" i="23198"/>
  <c r="I54" i="23177"/>
  <c r="F25" i="23211"/>
  <c r="E26" i="23211" s="1"/>
  <c r="E8" i="23211"/>
  <c r="F9" i="23211" s="1"/>
  <c r="F6" i="23211"/>
  <c r="E7" i="23211" s="1"/>
  <c r="F301" i="23198"/>
  <c r="F295" i="23198"/>
  <c r="F303" i="23198"/>
  <c r="F298" i="23198"/>
  <c r="F293" i="23198"/>
  <c r="F289" i="23198"/>
  <c r="F297" i="23198"/>
  <c r="C23" i="23201"/>
  <c r="F302" i="23198"/>
  <c r="F288" i="23198"/>
  <c r="F300" i="23198"/>
  <c r="F292" i="23198"/>
  <c r="F290" i="23198"/>
  <c r="D36" i="23201"/>
  <c r="C61" i="23201"/>
  <c r="D61" i="23201"/>
  <c r="I56" i="23204"/>
  <c r="I57" i="23204" s="1"/>
  <c r="I58" i="23204" s="1"/>
  <c r="D42" i="23201"/>
  <c r="C42" i="23201"/>
  <c r="CT17" i="23183"/>
  <c r="CZ17" i="23183" s="1"/>
  <c r="Q14" i="23184"/>
  <c r="Q22" i="23184"/>
  <c r="T22" i="23184" s="1"/>
  <c r="V22" i="23184" s="1"/>
  <c r="F16" i="23178"/>
  <c r="C47" i="23201"/>
  <c r="D47" i="23201"/>
  <c r="AA14" i="23184"/>
  <c r="G13" i="23199" s="1"/>
  <c r="D33" i="23201"/>
  <c r="C33" i="23201"/>
  <c r="D32" i="23201"/>
  <c r="C32" i="23201"/>
  <c r="Q20" i="23184"/>
  <c r="H18" i="23184"/>
  <c r="AU18" i="23184" s="1"/>
  <c r="C35" i="23201"/>
  <c r="D35" i="23201"/>
  <c r="D68" i="23201"/>
  <c r="C68" i="23201"/>
  <c r="AA17" i="23184"/>
  <c r="D28" i="23201"/>
  <c r="C28" i="23201"/>
  <c r="Q17" i="23184"/>
  <c r="T17" i="23184" s="1"/>
  <c r="H20" i="23184"/>
  <c r="CS17" i="23183"/>
  <c r="CY17" i="23183" s="1"/>
  <c r="AJ17" i="23184"/>
  <c r="D70" i="23201"/>
  <c r="C70" i="23201"/>
  <c r="C34" i="23201"/>
  <c r="D34" i="23201"/>
  <c r="Q18" i="23184"/>
  <c r="D19" i="23199"/>
  <c r="D18" i="23199" s="1"/>
  <c r="D17" i="23199" s="1"/>
  <c r="D16" i="23199" s="1"/>
  <c r="D15" i="23199" s="1"/>
  <c r="D14" i="23199" s="1"/>
  <c r="D13" i="23199" s="1"/>
  <c r="D12" i="23199" s="1"/>
  <c r="AS17" i="23183"/>
  <c r="AY17" i="23183" s="1"/>
  <c r="AU17" i="23183"/>
  <c r="BA17" i="23183" s="1"/>
  <c r="AT17" i="23183"/>
  <c r="AZ17" i="23183" s="1"/>
  <c r="AJ18" i="23184"/>
  <c r="C65" i="23201"/>
  <c r="D65" i="23201"/>
  <c r="I30" i="23209"/>
  <c r="H14" i="23184"/>
  <c r="AU14" i="23184" s="1"/>
  <c r="AJ20" i="23184"/>
  <c r="C38" i="23201"/>
  <c r="BN17" i="23183"/>
  <c r="BP17" i="23183" s="1"/>
  <c r="G17" i="23199"/>
  <c r="D78" i="23198"/>
  <c r="U13" i="23184"/>
  <c r="AL13" i="23184"/>
  <c r="N13" i="23184"/>
  <c r="J13" i="23184"/>
  <c r="F13" i="23184"/>
  <c r="AD13" i="23184"/>
  <c r="AB13" i="23184"/>
  <c r="AK13" i="23184"/>
  <c r="AF13" i="23184"/>
  <c r="O13" i="23184"/>
  <c r="L13" i="23184"/>
  <c r="AM13" i="23184"/>
  <c r="Y13" i="23184"/>
  <c r="G13" i="23184"/>
  <c r="I24" i="23209" s="1"/>
  <c r="AC13" i="23184"/>
  <c r="S13" i="23184"/>
  <c r="P13" i="23184"/>
  <c r="AE13" i="23184"/>
  <c r="Z13" i="23184"/>
  <c r="E13" i="23184"/>
  <c r="AG13" i="23184"/>
  <c r="X13" i="23184"/>
  <c r="AO13" i="23184"/>
  <c r="AI13" i="23184"/>
  <c r="R13" i="23184"/>
  <c r="M13" i="23184"/>
  <c r="K13" i="23184"/>
  <c r="AH13" i="23184"/>
  <c r="I13" i="23184"/>
  <c r="H18" i="23204"/>
  <c r="I27" i="23209"/>
  <c r="CR17" i="23183"/>
  <c r="O17" i="23183"/>
  <c r="O12" i="23200"/>
  <c r="N12" i="23200"/>
  <c r="E12" i="23200"/>
  <c r="L12" i="23200"/>
  <c r="C12" i="23200"/>
  <c r="M12" i="23200"/>
  <c r="D12" i="23200"/>
  <c r="G12" i="23200"/>
  <c r="I12" i="23200"/>
  <c r="K12" i="23200"/>
  <c r="J12" i="23200"/>
  <c r="H12" i="23200"/>
  <c r="F12" i="23200"/>
  <c r="F12" i="23201"/>
  <c r="E12" i="23201"/>
  <c r="I12" i="23177"/>
  <c r="G25" i="23208"/>
  <c r="I25" i="23208" s="1"/>
  <c r="AU20" i="23184"/>
  <c r="T20" i="23184"/>
  <c r="H19" i="23184"/>
  <c r="AU19" i="23184" s="1"/>
  <c r="D43" i="23201"/>
  <c r="C43" i="23201"/>
  <c r="D67" i="23201"/>
  <c r="C67" i="23201"/>
  <c r="Q19" i="23184"/>
  <c r="D54" i="23198"/>
  <c r="C69" i="23201"/>
  <c r="D69" i="23201"/>
  <c r="AA19" i="23184"/>
  <c r="AA20" i="23184"/>
  <c r="AN20" i="23184" s="1"/>
  <c r="AP20" i="23184" s="1"/>
  <c r="D67" i="23198"/>
  <c r="E7" i="23195"/>
  <c r="D9" i="23208" s="1"/>
  <c r="C50" i="23201"/>
  <c r="D50" i="23201"/>
  <c r="D31" i="23201"/>
  <c r="C31" i="23201"/>
  <c r="H16" i="23184"/>
  <c r="AU16" i="23184" s="1"/>
  <c r="C54" i="23201"/>
  <c r="D54" i="23201"/>
  <c r="C45" i="23201"/>
  <c r="D45" i="23201"/>
  <c r="D62" i="23201"/>
  <c r="C62" i="23201"/>
  <c r="AJ19" i="23184"/>
  <c r="C57" i="23201"/>
  <c r="D57" i="23201"/>
  <c r="F265" i="23198"/>
  <c r="D265" i="23198"/>
  <c r="D127" i="23198"/>
  <c r="F280" i="23198"/>
  <c r="D24" i="23201"/>
  <c r="C72" i="23201"/>
  <c r="D101" i="23198"/>
  <c r="F101" i="23198"/>
  <c r="F156" i="23198"/>
  <c r="D156" i="23198"/>
  <c r="F197" i="23198"/>
  <c r="F67" i="23198"/>
  <c r="D197" i="23198"/>
  <c r="D25" i="23201"/>
  <c r="C25" i="23201"/>
  <c r="C71" i="23201"/>
  <c r="D71" i="23201"/>
  <c r="D48" i="23201"/>
  <c r="C48" i="23201"/>
  <c r="F54" i="23198"/>
  <c r="C37" i="23201"/>
  <c r="D37" i="23201"/>
  <c r="F412" i="23198"/>
  <c r="F181" i="23198"/>
  <c r="F519" i="23198"/>
  <c r="D213" i="23198"/>
  <c r="C60" i="23201"/>
  <c r="D60" i="23201"/>
  <c r="AA16" i="23184"/>
  <c r="D49" i="23201"/>
  <c r="C49" i="23201"/>
  <c r="Q16" i="23184"/>
  <c r="AJ16" i="23184"/>
  <c r="D40" i="23201"/>
  <c r="C64" i="23201"/>
  <c r="D41" i="23201"/>
  <c r="C26" i="23201"/>
  <c r="C44" i="23201"/>
  <c r="C51" i="23201"/>
  <c r="D18" i="23201"/>
  <c r="H21" i="23184"/>
  <c r="AU21" i="23184" s="1"/>
  <c r="AA15" i="23184"/>
  <c r="D181" i="23198"/>
  <c r="Q21" i="23184"/>
  <c r="AA21" i="23184"/>
  <c r="AV21" i="23184" s="1"/>
  <c r="D39" i="23201"/>
  <c r="C27" i="23201"/>
  <c r="D27" i="23201"/>
  <c r="H15" i="23184"/>
  <c r="F245" i="23198"/>
  <c r="D56" i="23201"/>
  <c r="C56" i="23201"/>
  <c r="AJ15" i="23184"/>
  <c r="C53" i="23201"/>
  <c r="Q15" i="23184"/>
  <c r="AJ21" i="23184"/>
  <c r="C52" i="23201"/>
  <c r="D17" i="23201"/>
  <c r="H59" i="23204"/>
  <c r="D229" i="23198"/>
  <c r="D245" i="23198"/>
  <c r="C40" i="23198"/>
  <c r="D165" i="23198"/>
  <c r="D412" i="23198"/>
  <c r="D280" i="23198"/>
  <c r="D305" i="23198"/>
  <c r="D519" i="23198"/>
  <c r="AN22" i="23184" l="1"/>
  <c r="AP22" i="23184" s="1"/>
  <c r="AS23" i="23184"/>
  <c r="V23" i="23184"/>
  <c r="G22" i="23199"/>
  <c r="AV23" i="23184"/>
  <c r="F305" i="23198"/>
  <c r="G23" i="23199"/>
  <c r="H23" i="23199" s="1"/>
  <c r="H22" i="23199" s="1"/>
  <c r="H21" i="23199" s="1"/>
  <c r="AV24" i="23184"/>
  <c r="AN24" i="23184"/>
  <c r="AP24" i="23184" s="1"/>
  <c r="CX17" i="23183"/>
  <c r="F15" i="23178"/>
  <c r="AN18" i="23184"/>
  <c r="AP18" i="23184" s="1"/>
  <c r="AU24" i="23184"/>
  <c r="T24" i="23184"/>
  <c r="AV22" i="23184"/>
  <c r="H19" i="23204"/>
  <c r="E17" i="23211"/>
  <c r="E4" i="23211"/>
  <c r="F5" i="23211" s="1"/>
  <c r="AA13" i="23184"/>
  <c r="I16" i="23209" s="1"/>
  <c r="AN17" i="23184"/>
  <c r="AP17" i="23184" s="1"/>
  <c r="AN14" i="23184"/>
  <c r="AP14" i="23184" s="1"/>
  <c r="AV14" i="23184"/>
  <c r="T19" i="23184"/>
  <c r="E62" i="39" a="1"/>
  <c r="E62" i="39" s="1"/>
  <c r="G62" i="39" s="1"/>
  <c r="J62" i="39" s="1"/>
  <c r="C19" i="23201"/>
  <c r="D12" i="23201"/>
  <c r="C12" i="23201" s="1"/>
  <c r="Q10" i="23183"/>
  <c r="T18" i="23184"/>
  <c r="V18" i="23184" s="1"/>
  <c r="G16" i="23199"/>
  <c r="AV17" i="23184"/>
  <c r="E61" i="39" a="1"/>
  <c r="E61" i="39" s="1"/>
  <c r="G61" i="39" s="1"/>
  <c r="J61" i="39" s="1"/>
  <c r="AS22" i="23184"/>
  <c r="T16" i="23184"/>
  <c r="AS16" i="23184" s="1"/>
  <c r="V17" i="23184"/>
  <c r="AS17" i="23184"/>
  <c r="I11" i="23177"/>
  <c r="T14" i="23184"/>
  <c r="G12" i="23199"/>
  <c r="AJ13" i="23184"/>
  <c r="I17" i="23209" s="1"/>
  <c r="Q13" i="23184"/>
  <c r="I19" i="23209" s="1"/>
  <c r="H13" i="23184"/>
  <c r="AV13" i="23184"/>
  <c r="Q17" i="23183"/>
  <c r="H13" i="23197"/>
  <c r="F14" i="23178"/>
  <c r="V19" i="23184"/>
  <c r="AS19" i="23184"/>
  <c r="G14" i="23199"/>
  <c r="AV15" i="23184"/>
  <c r="G15" i="23199"/>
  <c r="AV16" i="23184"/>
  <c r="G19" i="23199"/>
  <c r="AV20" i="23184"/>
  <c r="G18" i="23199"/>
  <c r="AV19" i="23184"/>
  <c r="AN19" i="23184"/>
  <c r="AP19" i="23184" s="1"/>
  <c r="V20" i="23184"/>
  <c r="AS20" i="23184"/>
  <c r="C22" i="23201"/>
  <c r="AN16" i="23184"/>
  <c r="AP16" i="23184" s="1"/>
  <c r="C18" i="23201"/>
  <c r="C17" i="23201"/>
  <c r="AN15" i="23184"/>
  <c r="AP15" i="23184" s="1"/>
  <c r="T21" i="23184"/>
  <c r="AS21" i="23184" s="1"/>
  <c r="C20" i="23201"/>
  <c r="C21" i="23201"/>
  <c r="AN21" i="23184"/>
  <c r="AP21" i="23184" s="1"/>
  <c r="G20" i="23199"/>
  <c r="I59" i="23204"/>
  <c r="I60" i="23204" s="1"/>
  <c r="I61" i="23204" s="1"/>
  <c r="AU15" i="23184"/>
  <c r="T15" i="23184"/>
  <c r="C16" i="23201"/>
  <c r="C14" i="23201"/>
  <c r="C15" i="23201"/>
  <c r="C13" i="23201"/>
  <c r="H20" i="23199" l="1"/>
  <c r="V24" i="23184"/>
  <c r="AS24" i="23184"/>
  <c r="E13" i="23195"/>
  <c r="D15" i="23208" s="1"/>
  <c r="E13" i="23211"/>
  <c r="AS18" i="23184"/>
  <c r="V16" i="23184"/>
  <c r="I46" i="23177"/>
  <c r="J74" i="39"/>
  <c r="AS14" i="23184"/>
  <c r="V14" i="23184"/>
  <c r="L76" i="23210"/>
  <c r="I201" i="23210" s="1"/>
  <c r="K22" i="23178"/>
  <c r="AN13" i="23184"/>
  <c r="AP13" i="23184" s="1"/>
  <c r="I29" i="23209"/>
  <c r="I43" i="23209"/>
  <c r="I42" i="23209"/>
  <c r="I18" i="23209"/>
  <c r="T13" i="23184"/>
  <c r="AU13" i="23184"/>
  <c r="I40" i="23209"/>
  <c r="I41" i="23209"/>
  <c r="H19" i="23199"/>
  <c r="H18" i="23199" s="1"/>
  <c r="H17" i="23199" s="1"/>
  <c r="H16" i="23199" s="1"/>
  <c r="H15" i="23199" s="1"/>
  <c r="H14" i="23199" s="1"/>
  <c r="H13" i="23199" s="1"/>
  <c r="H12" i="23199" s="1"/>
  <c r="V21" i="23184"/>
  <c r="F21" i="23178"/>
  <c r="V15" i="23184"/>
  <c r="AS15" i="23184"/>
  <c r="I48" i="23177" l="1"/>
  <c r="E12" i="23211"/>
  <c r="F14" i="23211" s="1"/>
  <c r="AS13" i="23184"/>
  <c r="G14" i="23204" s="1"/>
  <c r="V13" i="23184"/>
  <c r="H14" i="23204" l="1"/>
  <c r="I14" i="23204" s="1"/>
  <c r="I16" i="23204" s="1"/>
  <c r="I17" i="23204" s="1"/>
  <c r="I18" i="23204" s="1"/>
  <c r="I19" i="23204" s="1"/>
  <c r="I33" i="23177" l="1"/>
  <c r="I20" i="23204"/>
  <c r="I21" i="23204" s="1"/>
  <c r="I22" i="23204" s="1"/>
  <c r="I23" i="23204" s="1"/>
  <c r="I15" i="23177"/>
  <c r="I34" i="23177" s="1"/>
  <c r="H33" i="23204" l="1"/>
  <c r="I33" i="23204" l="1"/>
  <c r="I37" i="23177" l="1"/>
  <c r="I44" i="23177" s="1"/>
  <c r="J44" i="23177" s="1"/>
  <c r="L44" i="23177" l="1"/>
  <c r="L45" i="23177" l="1"/>
  <c r="J46" i="23177" l="1"/>
  <c r="L46" i="23177" s="1"/>
  <c r="L47" i="23177" s="1"/>
  <c r="J48" i="23177" l="1"/>
  <c r="K46" i="23177"/>
  <c r="L48" i="23177" l="1"/>
  <c r="J49" i="23177" s="1"/>
  <c r="K48" i="23177"/>
  <c r="K49" i="23177" l="1"/>
  <c r="E12" i="23206" s="1"/>
  <c r="L49" i="23177"/>
  <c r="I24" i="23177" l="1"/>
  <c r="H45" i="23204"/>
  <c r="L50" i="23177"/>
  <c r="J51" i="23177" l="1"/>
  <c r="J24" i="23177"/>
  <c r="K24" i="23177" s="1"/>
  <c r="K51" i="23177" l="1"/>
  <c r="L51" i="23177"/>
  <c r="L52" i="23177" l="1"/>
  <c r="I53" i="23177" l="1"/>
  <c r="I16" i="23177" l="1"/>
  <c r="I17" i="23177" s="1"/>
  <c r="J53" i="23177"/>
  <c r="K53" i="23177" s="1"/>
  <c r="C12" i="23206" l="1"/>
  <c r="L53" i="23177"/>
  <c r="I23" i="23177"/>
  <c r="J23" i="23177" s="1"/>
  <c r="H24" i="23204"/>
  <c r="H44" i="23204" l="1"/>
  <c r="I44" i="23204" s="1"/>
  <c r="I45" i="23204" s="1"/>
  <c r="I46" i="23204" s="1"/>
  <c r="E27" i="23211"/>
  <c r="I24" i="23204"/>
  <c r="E3" i="23195"/>
  <c r="D5" i="23208" s="1"/>
  <c r="K12" i="23206"/>
  <c r="I65" i="23210" s="1"/>
  <c r="H12" i="23206"/>
  <c r="J65" i="23210" s="1"/>
  <c r="H34" i="23204"/>
  <c r="I34" i="23204" s="1"/>
  <c r="L23" i="23177"/>
  <c r="J54" i="23177"/>
  <c r="K54" i="23177" l="1"/>
  <c r="L54" i="23177"/>
  <c r="L55" i="23177" s="1"/>
  <c r="L24" i="23177"/>
  <c r="H25" i="23204"/>
  <c r="I25" i="23204" s="1"/>
  <c r="I26" i="23204" s="1"/>
  <c r="H28" i="23208"/>
  <c r="F20" i="23211"/>
  <c r="E21" i="23211" s="1"/>
  <c r="F28" i="23211"/>
  <c r="H47" i="23204"/>
  <c r="F10" i="23211" s="1"/>
  <c r="E11" i="23211" s="1"/>
  <c r="I47" i="23204" l="1"/>
  <c r="I48" i="23204" s="1"/>
  <c r="I76" i="23210"/>
  <c r="F19" i="23178"/>
  <c r="I56" i="23177"/>
  <c r="F22" i="23178"/>
  <c r="K76" i="23210"/>
  <c r="E29" i="23211"/>
  <c r="F30" i="23211" s="1"/>
  <c r="E4" i="23195"/>
  <c r="D6" i="23208" s="1"/>
  <c r="F24" i="23203"/>
  <c r="I25" i="23177" l="1"/>
  <c r="I24" i="23203"/>
  <c r="G24" i="23203"/>
  <c r="H27" i="23208"/>
  <c r="G26" i="23208"/>
  <c r="I26" i="23208" s="1"/>
  <c r="E12" i="23195"/>
  <c r="D14" i="23208" s="1"/>
  <c r="G27" i="23208" s="1"/>
  <c r="E18" i="23211"/>
  <c r="F19" i="23211" s="1"/>
  <c r="J56" i="23177"/>
  <c r="N63" i="23209" s="1" a="1"/>
  <c r="K56" i="23177" l="1"/>
  <c r="Q63" i="23209"/>
  <c r="Y63" i="23209"/>
  <c r="O63" i="23209"/>
  <c r="V63" i="23209"/>
  <c r="T63" i="23209"/>
  <c r="N63" i="23209"/>
  <c r="P63" i="23209"/>
  <c r="R63" i="23209"/>
  <c r="S63" i="23209"/>
  <c r="U63" i="23209"/>
  <c r="W63" i="23209"/>
  <c r="X63" i="23209"/>
  <c r="Z63" i="23209"/>
  <c r="I21" i="23209"/>
  <c r="L56" i="23177"/>
  <c r="I27" i="23208"/>
  <c r="N24" i="23203"/>
  <c r="K13" i="23178"/>
  <c r="J24" i="23203"/>
  <c r="I36" i="23210"/>
  <c r="E11" i="23195"/>
  <c r="D13" i="23208" s="1"/>
  <c r="G28" i="23208" s="1"/>
  <c r="I28" i="23208" s="1"/>
  <c r="J25" i="23177"/>
  <c r="L25" i="23177" l="1"/>
  <c r="K25" i="23177"/>
  <c r="I26" i="23177"/>
  <c r="O24" i="23203"/>
  <c r="L57" i="23177"/>
  <c r="N64" i="23209" a="1"/>
  <c r="Q64" i="23209" l="1"/>
  <c r="W64" i="23209"/>
  <c r="Y64" i="23209"/>
  <c r="T64" i="23209"/>
  <c r="N64" i="23209"/>
  <c r="P64" i="23209"/>
  <c r="U64" i="23209"/>
  <c r="O64" i="23209"/>
  <c r="V64" i="23209"/>
  <c r="S64" i="23209"/>
  <c r="R64" i="23209"/>
  <c r="Z64" i="23209"/>
  <c r="X64" i="23209"/>
  <c r="K16" i="23178"/>
  <c r="K24" i="23178" s="1"/>
  <c r="J36" i="23210"/>
  <c r="Q24" i="23203"/>
  <c r="J26" i="23177"/>
  <c r="I63" i="23209" s="1" a="1"/>
  <c r="K26" i="23177"/>
  <c r="L26" i="23177"/>
  <c r="L27" i="23177" s="1"/>
  <c r="L28" i="23177" s="1"/>
  <c r="I64" i="23209" l="1" a="1"/>
  <c r="M64" i="23209" s="1"/>
  <c r="M63" i="23209"/>
  <c r="J63" i="23209"/>
  <c r="I63" i="23209"/>
  <c r="K63" i="23209"/>
  <c r="L63" i="23209"/>
  <c r="H35" i="23204"/>
  <c r="I60" i="23210"/>
  <c r="I23" i="23209"/>
  <c r="L64" i="23209" l="1"/>
  <c r="I64" i="23209"/>
  <c r="K64" i="23209"/>
  <c r="J64" i="23209"/>
  <c r="E22" i="23211"/>
  <c r="F23" i="23211" s="1"/>
  <c r="I35" i="23204"/>
  <c r="I36" i="23204" s="1"/>
  <c r="F20" i="23178" l="1"/>
  <c r="J76" i="23210"/>
  <c r="F24" i="23178" l="1"/>
  <c r="L24" i="2317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O59" authorId="0" shapeId="0" xr:uid="{7A03B8A8-53DD-4702-9A0D-6A6D75C7E34E}">
      <text>
        <r>
          <rPr>
            <b/>
            <sz val="9"/>
            <color indexed="81"/>
            <rFont val="Tahoma"/>
            <family val="2"/>
          </rPr>
          <t>Reserve Fund Required Amount means the lesser of:
(a) the Class A Notes Outstanding Amount as of the preceding Calculation Date, provided that for the first Interest Payment Date, the Class A Notes Outstanding Amount will be as of the Issue Date; and
(b) the preceding Calculation Date, provided that for the first Interest Payment Date, the Reserve Fund Required Amount shall be calculated based on the Class A Notes Outstanding Amount as of the Issue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H33" authorId="0" shapeId="0" xr:uid="{7B198F0E-0EB4-4837-BEB2-2C68443296A8}">
      <text>
        <r>
          <rPr>
            <b/>
            <sz val="9"/>
            <color indexed="81"/>
            <rFont val="Tahoma"/>
            <family val="2"/>
          </rPr>
          <t>Moins l'encours des parts résiduelles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<sst xmlns="http://schemas.openxmlformats.org/spreadsheetml/2006/main" count="10297" uniqueCount="2550">
  <si>
    <t>Date de Paiement</t>
  </si>
  <si>
    <t xml:space="preserve"> </t>
  </si>
  <si>
    <t>Total</t>
  </si>
  <si>
    <t>Libellé</t>
  </si>
  <si>
    <t>Date d'Arrêté</t>
  </si>
  <si>
    <t>Email Address</t>
  </si>
  <si>
    <t>:</t>
  </si>
  <si>
    <t>Contact</t>
  </si>
  <si>
    <t>Movements</t>
  </si>
  <si>
    <t>credit</t>
  </si>
  <si>
    <t>1</t>
  </si>
  <si>
    <t>2</t>
  </si>
  <si>
    <t>3</t>
  </si>
  <si>
    <t>4</t>
  </si>
  <si>
    <t>5</t>
  </si>
  <si>
    <t>6</t>
  </si>
  <si>
    <t>7</t>
  </si>
  <si>
    <t>8</t>
  </si>
  <si>
    <t>debit</t>
  </si>
  <si>
    <t>PASSIF</t>
  </si>
  <si>
    <t>No</t>
  </si>
  <si>
    <t>Parties</t>
  </si>
  <si>
    <t>Yes</t>
  </si>
  <si>
    <t>Date d'Arrêté -1</t>
  </si>
  <si>
    <t>15 - OD</t>
  </si>
  <si>
    <t>Date</t>
  </si>
  <si>
    <t xml:space="preserve">Journal </t>
  </si>
  <si>
    <t>Compte</t>
  </si>
  <si>
    <t>Débit</t>
  </si>
  <si>
    <t>Crédit</t>
  </si>
  <si>
    <t xml:space="preserve">Contrôle </t>
  </si>
  <si>
    <t>OD</t>
  </si>
  <si>
    <t>10100000</t>
  </si>
  <si>
    <t>Montant d'Amortissement des Obligations BPI</t>
  </si>
  <si>
    <t>10110000</t>
  </si>
  <si>
    <t>Montant d'amortissement des Parts Subordonnées</t>
  </si>
  <si>
    <t>10200000</t>
  </si>
  <si>
    <t>BQ</t>
  </si>
  <si>
    <t>10210000</t>
  </si>
  <si>
    <t>10500000</t>
  </si>
  <si>
    <t xml:space="preserve">Intérêt courus Obligation BPI </t>
  </si>
  <si>
    <t>10530000</t>
  </si>
  <si>
    <t>Intérêt courus des Parts Subordonnées</t>
  </si>
  <si>
    <t>27400000</t>
  </si>
  <si>
    <t xml:space="preserve">Remboursement portefeuille sain </t>
  </si>
  <si>
    <t>27401000</t>
  </si>
  <si>
    <t xml:space="preserve">Remboursement portefeuille contentieux </t>
  </si>
  <si>
    <t>27402000</t>
  </si>
  <si>
    <t>Remboursement portefeuille impayé</t>
  </si>
  <si>
    <t>27490000</t>
  </si>
  <si>
    <t xml:space="preserve">Décote des créances </t>
  </si>
  <si>
    <t>28010000</t>
  </si>
  <si>
    <t>Amortissement des Frais d'établissement</t>
  </si>
  <si>
    <t>46860000</t>
  </si>
  <si>
    <t>Charges à payer</t>
  </si>
  <si>
    <t>46870000</t>
  </si>
  <si>
    <t>Produits à recevoir</t>
  </si>
  <si>
    <t>46871000</t>
  </si>
  <si>
    <t>Encaissement divers</t>
  </si>
  <si>
    <t>51211000</t>
  </si>
  <si>
    <t xml:space="preserve">Banque en Monnaie locale </t>
  </si>
  <si>
    <t>62200000</t>
  </si>
  <si>
    <t xml:space="preserve">Commission de la société de gestion </t>
  </si>
  <si>
    <t>62210000</t>
  </si>
  <si>
    <t xml:space="preserve">Commission dépositaire </t>
  </si>
  <si>
    <t>62220000</t>
  </si>
  <si>
    <t xml:space="preserve">Commission recourveur </t>
  </si>
  <si>
    <t>62260000</t>
  </si>
  <si>
    <t>Honoraires CAC</t>
  </si>
  <si>
    <t>62500000</t>
  </si>
  <si>
    <t>62700000</t>
  </si>
  <si>
    <t>Services bancaires et assimilés</t>
  </si>
  <si>
    <t>66100000</t>
  </si>
  <si>
    <t xml:space="preserve">Intérêt des Obligations </t>
  </si>
  <si>
    <t>62270000</t>
  </si>
  <si>
    <t xml:space="preserve">Frais de procèdure </t>
  </si>
  <si>
    <t>66120000</t>
  </si>
  <si>
    <t>Intérêt des Parts Suborsonnées</t>
  </si>
  <si>
    <t>73000000</t>
  </si>
  <si>
    <t>75800000</t>
  </si>
  <si>
    <t>Produits divers de gestion courante</t>
  </si>
  <si>
    <t>76000000</t>
  </si>
  <si>
    <t xml:space="preserve">Intérêt des créances </t>
  </si>
  <si>
    <t>76010000</t>
  </si>
  <si>
    <t>Indeminités rachat anticipés</t>
  </si>
  <si>
    <t>Pièces Comptables </t>
  </si>
  <si>
    <t>Controle</t>
  </si>
  <si>
    <t>Payment Date</t>
  </si>
  <si>
    <t>Asset</t>
  </si>
  <si>
    <t>Liability</t>
  </si>
  <si>
    <t xml:space="preserve">Start of Collection Period </t>
  </si>
  <si>
    <t xml:space="preserve">End of Collection Period </t>
  </si>
  <si>
    <t>Previous Payment Date</t>
  </si>
  <si>
    <t>Table of contents:</t>
  </si>
  <si>
    <t>Calculation Date</t>
  </si>
  <si>
    <t>Cut Off Date</t>
  </si>
  <si>
    <t>Beginning of period</t>
  </si>
  <si>
    <t>End of period</t>
  </si>
  <si>
    <t>Name</t>
  </si>
  <si>
    <t>Bank Account</t>
  </si>
  <si>
    <t>Balance at beginning of period</t>
  </si>
  <si>
    <t>Amount due</t>
  </si>
  <si>
    <t>Amount paid</t>
  </si>
  <si>
    <t>Management number</t>
  </si>
  <si>
    <t>Management Company</t>
  </si>
  <si>
    <t>Custodian and Settlement Bank</t>
  </si>
  <si>
    <t>Seller</t>
  </si>
  <si>
    <t>Quarterly Calculation Date</t>
  </si>
  <si>
    <t>Cut off date</t>
  </si>
  <si>
    <t>Note Subscriber</t>
  </si>
  <si>
    <t>Designation</t>
  </si>
  <si>
    <t>Beneficiaries</t>
  </si>
  <si>
    <t>Nominal basis</t>
  </si>
  <si>
    <t>Rate</t>
  </si>
  <si>
    <t>Annual VAT amount</t>
  </si>
  <si>
    <t>VAT rate</t>
  </si>
  <si>
    <t>Frequencies</t>
  </si>
  <si>
    <t>To be paid</t>
  </si>
  <si>
    <t>Arrears</t>
  </si>
  <si>
    <t>Management Company (Annual fee)</t>
  </si>
  <si>
    <t>Management Company (per events )</t>
  </si>
  <si>
    <t xml:space="preserve">The Management Company shall be reimbursed </t>
  </si>
  <si>
    <t>Custodian - (Annual fee)</t>
  </si>
  <si>
    <t>Statutory Auditors</t>
  </si>
  <si>
    <t>FCT Operating Costs (in Euro)</t>
  </si>
  <si>
    <t xml:space="preserve">XX - Asset Follow up </t>
  </si>
  <si>
    <t xml:space="preserve">XX - Collection </t>
  </si>
  <si>
    <t xml:space="preserve">XX - Interest </t>
  </si>
  <si>
    <t xml:space="preserve">XX - Waterfall </t>
  </si>
  <si>
    <t xml:space="preserve">XX - Event </t>
  </si>
  <si>
    <t xml:space="preserve">Numéro de la gestion </t>
  </si>
  <si>
    <t>Establishment Date</t>
  </si>
  <si>
    <t>Signing Date</t>
  </si>
  <si>
    <t>Collection Payment Date</t>
  </si>
  <si>
    <t>Cut-Off Date</t>
  </si>
  <si>
    <t>Business Day</t>
  </si>
  <si>
    <t xml:space="preserve">Principal Instalments amount </t>
  </si>
  <si>
    <t>Prepayments</t>
  </si>
  <si>
    <t>Principal losses amount</t>
  </si>
  <si>
    <t xml:space="preserve">Principal Instalments amount paid </t>
  </si>
  <si>
    <t>Unpaid amount variation</t>
  </si>
  <si>
    <t xml:space="preserve">Prepayments            </t>
  </si>
  <si>
    <t>Collection principal  (calculated)</t>
  </si>
  <si>
    <t>Regular Interest paid</t>
  </si>
  <si>
    <t>Past due interests installments  paid</t>
  </si>
  <si>
    <t>Indemnity Prepayment paid</t>
  </si>
  <si>
    <t>Miscellenaous amount paid</t>
  </si>
  <si>
    <t>Interim Interests further to prepayement</t>
  </si>
  <si>
    <t>Collection interest (calculated)</t>
  </si>
  <si>
    <t>Global Collection calculated</t>
  </si>
  <si>
    <t>Global Collection declared</t>
  </si>
  <si>
    <t>9</t>
  </si>
  <si>
    <t>Set up fee</t>
  </si>
  <si>
    <t>Administration fee</t>
  </si>
  <si>
    <t>Change of servicer</t>
  </si>
  <si>
    <t>Amendments loan documentation</t>
  </si>
  <si>
    <t>Unitholder consultation</t>
  </si>
  <si>
    <t>Operation Refinancing</t>
  </si>
  <si>
    <t>Transfer of Units:</t>
  </si>
  <si>
    <t>Selling fee standard contract</t>
  </si>
  <si>
    <t>Selling fee one-off contract</t>
  </si>
  <si>
    <t>Closing Date of such refinancing</t>
  </si>
  <si>
    <t>Redevance AMF</t>
  </si>
  <si>
    <t>Annual Fee</t>
  </si>
  <si>
    <t>The Issuer Establishment Date</t>
  </si>
  <si>
    <t>Additional Fee</t>
  </si>
  <si>
    <t>Servicer</t>
  </si>
  <si>
    <t>Opening Outstanding Balance (Loan Receivables)</t>
  </si>
  <si>
    <t>PwC</t>
  </si>
  <si>
    <t>Anticipated liquidation (Year 1)</t>
  </si>
  <si>
    <t>Anticipated liquidation (Year 2)</t>
  </si>
  <si>
    <t>Anticipated liquidation fterwards</t>
  </si>
  <si>
    <t>Days elapsed</t>
  </si>
  <si>
    <t>Liquidation Date</t>
  </si>
  <si>
    <t>Servicer Termination Event</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</si>
  <si>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</si>
  <si>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</si>
  <si>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</si>
  <si>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</si>
  <si>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</si>
  <si>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</si>
  <si>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</si>
  <si>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</si>
  <si>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</si>
  <si>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</si>
  <si>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</si>
  <si>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</si>
  <si>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</si>
  <si>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</si>
  <si>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</si>
  <si>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</si>
  <si>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</si>
  <si>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</si>
  <si>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</si>
  <si>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</si>
  <si>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</si>
  <si>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</si>
  <si>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</si>
  <si>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</si>
  <si>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Principal Outstanding balance</t>
  </si>
  <si>
    <t>Unpaid Balance</t>
  </si>
  <si>
    <t>Opening unpaid balance</t>
  </si>
  <si>
    <t>New unpaid</t>
  </si>
  <si>
    <t>Collections</t>
  </si>
  <si>
    <t>Losses Amount</t>
  </si>
  <si>
    <t>Principal</t>
  </si>
  <si>
    <t>Interest</t>
  </si>
  <si>
    <t>Others</t>
  </si>
  <si>
    <t>GAP</t>
  </si>
  <si>
    <t>Cut off Date</t>
  </si>
  <si>
    <t>Collection of the period	 ( Performing )</t>
  </si>
  <si>
    <t>Recovery of the period	 ( Defaulted )</t>
  </si>
  <si>
    <t>PERFORMING</t>
  </si>
  <si>
    <t>DEFAULTED</t>
  </si>
  <si>
    <t>08 - Fees</t>
  </si>
  <si>
    <t>11 - Calendar</t>
  </si>
  <si>
    <t>Contacts</t>
  </si>
  <si>
    <t xml:space="preserve">   09 - Priority of Payments</t>
  </si>
  <si>
    <t>10 - Simplified balance sheet</t>
  </si>
  <si>
    <t>Principal balance of receivables becoming Defaulted</t>
  </si>
  <si>
    <t>Principal balance of receivables becoming Performing</t>
  </si>
  <si>
    <t>Each Payment Date</t>
  </si>
  <si>
    <t>Payment Date following the change of servicer</t>
  </si>
  <si>
    <t>Payment Date following each amendment</t>
  </si>
  <si>
    <t>Payment Date following each consultation</t>
  </si>
  <si>
    <t>Payment Date following each transfer</t>
  </si>
  <si>
    <t xml:space="preserve">Payment Date of the liquidation of the fund </t>
  </si>
  <si>
    <t>Payment Date following each Selling</t>
  </si>
  <si>
    <t>Payment Date following the reporting production</t>
  </si>
  <si>
    <t>Payment Date following receipt of the relevant invoice</t>
  </si>
  <si>
    <t>General Account</t>
  </si>
  <si>
    <t>Reserve Account</t>
  </si>
  <si>
    <t>Closing Outstanding Balances (Calculated)</t>
  </si>
  <si>
    <t>Closing Outstanding Balances (Declared)</t>
  </si>
  <si>
    <t>Closing unpaid balance (Calculated)</t>
  </si>
  <si>
    <t>Closing unpaid balance (Declared)</t>
  </si>
  <si>
    <t>Balance</t>
  </si>
  <si>
    <t>Perf Principal</t>
  </si>
  <si>
    <t>Defaut principal</t>
  </si>
  <si>
    <t>Amount of recovery fees paid</t>
  </si>
  <si>
    <t>Unpaid Balance
becoming Defauted</t>
  </si>
  <si>
    <t>Unpaid Balance
becoming Performing</t>
  </si>
  <si>
    <t>Unpaid Balance
becoming Defaulted</t>
  </si>
  <si>
    <t>Payment_Method</t>
  </si>
  <si>
    <t>Code_Paiement</t>
  </si>
  <si>
    <t>Country</t>
  </si>
  <si>
    <t>Charge_Bearer</t>
  </si>
  <si>
    <t>Address</t>
  </si>
  <si>
    <t>Residual Units</t>
  </si>
  <si>
    <t>IQ EQ Management</t>
  </si>
  <si>
    <t>MILLEIS BANQUE</t>
  </si>
  <si>
    <t>BPSS</t>
  </si>
  <si>
    <t>hugo.lavayssiere@iqeq.com</t>
  </si>
  <si>
    <t xml:space="preserve">omar.ghannam@iqeq.com
</t>
  </si>
  <si>
    <t>FctFrenchPrimeCash2023@iqeq.com</t>
  </si>
  <si>
    <t>Summary Statistics</t>
  </si>
  <si>
    <t>00-01</t>
  </si>
  <si>
    <t>Principal Outstanding Balance</t>
  </si>
  <si>
    <t>00-02</t>
  </si>
  <si>
    <t>Original Principal Outstanding Balance</t>
  </si>
  <si>
    <t>00-03</t>
  </si>
  <si>
    <t>Number of Loans</t>
  </si>
  <si>
    <t>00-04</t>
  </si>
  <si>
    <t>Number of Borrowers</t>
  </si>
  <si>
    <t>00-05</t>
  </si>
  <si>
    <t>Average Principal Outstanding Balance of a Loan</t>
  </si>
  <si>
    <t>00-06</t>
  </si>
  <si>
    <t>Weighted Average Interest Rate</t>
  </si>
  <si>
    <t>00-07</t>
  </si>
  <si>
    <t>Weighted Average Original Term (Months)</t>
  </si>
  <si>
    <t>00-08</t>
  </si>
  <si>
    <t>Weighted Average Seasoning (Months)</t>
  </si>
  <si>
    <t>00-09</t>
  </si>
  <si>
    <t>Weighted Average Remaining Term (Months)</t>
  </si>
  <si>
    <t>00-10</t>
  </si>
  <si>
    <t>Weighted Average Original Loan to Value</t>
  </si>
  <si>
    <t>00-11</t>
  </si>
  <si>
    <r>
      <t>Weighted Average Current Loan</t>
    </r>
    <r>
      <rPr>
        <b/>
        <sz val="11"/>
        <color theme="1"/>
        <rFont val="Times New Roman"/>
        <family val="1"/>
      </rPr>
      <t>-</t>
    </r>
    <r>
      <rPr>
        <sz val="11"/>
        <color theme="1"/>
        <rFont val="Times New Roman"/>
        <family val="1"/>
      </rPr>
      <t>to</t>
    </r>
    <r>
      <rPr>
        <b/>
        <sz val="11"/>
        <color theme="1"/>
        <rFont val="Times New Roman"/>
        <family val="1"/>
      </rPr>
      <t>-</t>
    </r>
    <r>
      <rPr>
        <sz val="11"/>
        <color theme="1"/>
        <rFont val="Times New Roman"/>
        <family val="1"/>
      </rPr>
      <t>Value</t>
    </r>
  </si>
  <si>
    <t>00-12</t>
  </si>
  <si>
    <t>00-13</t>
  </si>
  <si>
    <t>00-14</t>
  </si>
  <si>
    <t>00-15</t>
  </si>
  <si>
    <t xml:space="preserve">Proportion of Mortgage </t>
  </si>
  <si>
    <t>00-16</t>
  </si>
  <si>
    <t>Proportion of SACCEF</t>
  </si>
  <si>
    <t>Proportion of CNP</t>
  </si>
  <si>
    <t>Proportion of Crédit Logement</t>
  </si>
  <si>
    <t>1. Breakdown by Principal Outstanding Balance</t>
  </si>
  <si>
    <t>Bucket Principal Outstanding Balance</t>
  </si>
  <si>
    <t>% of Total (Amount)</t>
  </si>
  <si>
    <t>Nb of Loans</t>
  </si>
  <si>
    <t>% of Total (Number)</t>
  </si>
  <si>
    <t>01-01</t>
  </si>
  <si>
    <t>01-02</t>
  </si>
  <si>
    <t>01-03</t>
  </si>
  <si>
    <t>01-04</t>
  </si>
  <si>
    <t>01-05</t>
  </si>
  <si>
    <t>01-06</t>
  </si>
  <si>
    <t>01-07</t>
  </si>
  <si>
    <t>01-08</t>
  </si>
  <si>
    <t>2. Breakdown by Principal Original Balance</t>
  </si>
  <si>
    <t>Bucket Principal Original Balance</t>
  </si>
  <si>
    <t>02-01</t>
  </si>
  <si>
    <t>02-02</t>
  </si>
  <si>
    <t>02-03</t>
  </si>
  <si>
    <t>02-04</t>
  </si>
  <si>
    <t>02-05</t>
  </si>
  <si>
    <t>02-06</t>
  </si>
  <si>
    <t>02-07</t>
  </si>
  <si>
    <t>02-08</t>
  </si>
  <si>
    <t>3. Breakdown by Seasoning</t>
  </si>
  <si>
    <t>Bucket Seasoning (in months)</t>
  </si>
  <si>
    <t>03-01</t>
  </si>
  <si>
    <t>03-02</t>
  </si>
  <si>
    <t>03-03</t>
  </si>
  <si>
    <t>03-04</t>
  </si>
  <si>
    <t>03-05</t>
  </si>
  <si>
    <t>03-06</t>
  </si>
  <si>
    <t>4. Breakdown by Remaining Term to Maturity</t>
  </si>
  <si>
    <t>Bucket Remaining Term to Maturity  (in months)</t>
  </si>
  <si>
    <t>04-01</t>
  </si>
  <si>
    <t>04-02</t>
  </si>
  <si>
    <t>04-03</t>
  </si>
  <si>
    <t>04-04</t>
  </si>
  <si>
    <t>04-05</t>
  </si>
  <si>
    <t>04-06</t>
  </si>
  <si>
    <t>Year of Origination</t>
  </si>
  <si>
    <t>05-01</t>
  </si>
  <si>
    <t>05-02</t>
  </si>
  <si>
    <t>05-03</t>
  </si>
  <si>
    <t>05-04</t>
  </si>
  <si>
    <t>05-05</t>
  </si>
  <si>
    <t>05-06</t>
  </si>
  <si>
    <t>05-07</t>
  </si>
  <si>
    <t>Bucket Interest Rate</t>
  </si>
  <si>
    <t>06-01</t>
  </si>
  <si>
    <t>06-02</t>
  </si>
  <si>
    <t>06-03</t>
  </si>
  <si>
    <t>06-04</t>
  </si>
  <si>
    <t>06-05</t>
  </si>
  <si>
    <t>06-06</t>
  </si>
  <si>
    <t>06-07</t>
  </si>
  <si>
    <t>06-08</t>
  </si>
  <si>
    <t>06-09</t>
  </si>
  <si>
    <t>06-10</t>
  </si>
  <si>
    <t>06-11</t>
  </si>
  <si>
    <t>06-12</t>
  </si>
  <si>
    <t>06-13</t>
  </si>
  <si>
    <t>06-14</t>
  </si>
  <si>
    <t>06-15</t>
  </si>
  <si>
    <t>06-16</t>
  </si>
  <si>
    <t>Interest Rate Type</t>
  </si>
  <si>
    <t>07-01</t>
  </si>
  <si>
    <t>Floating rate underlying exposure (for life)</t>
  </si>
  <si>
    <t>07-02</t>
  </si>
  <si>
    <t>Floating rate underlying exposure linked to one index that will revert to another index in the future (FINX)</t>
  </si>
  <si>
    <t>07-03</t>
  </si>
  <si>
    <t>Fixed rate underlying exposure (for life)</t>
  </si>
  <si>
    <t>07-04</t>
  </si>
  <si>
    <t>Fixed with future periodic resets</t>
  </si>
  <si>
    <t>07-05</t>
  </si>
  <si>
    <t>Fixed rate underlying exposure with compulsory future switch to floating</t>
  </si>
  <si>
    <t>07-06</t>
  </si>
  <si>
    <t>Floating rate underlying exposure with floor</t>
  </si>
  <si>
    <t>Floating rate underlying exposure with cap</t>
  </si>
  <si>
    <t>Floating rate underlying exposure with both floor and cap</t>
  </si>
  <si>
    <t>Discount</t>
  </si>
  <si>
    <t>Switch Optionality</t>
  </si>
  <si>
    <t>Obligor Swapped</t>
  </si>
  <si>
    <t>Modular</t>
  </si>
  <si>
    <t>Other</t>
  </si>
  <si>
    <t>Bucket Current Loan-to-Value</t>
  </si>
  <si>
    <t>08-01</t>
  </si>
  <si>
    <t>&lt;= 10%</t>
  </si>
  <si>
    <t>08-02</t>
  </si>
  <si>
    <t>] 10% ; 20% ]</t>
  </si>
  <si>
    <t>08-03</t>
  </si>
  <si>
    <t>] 20% ; 30% ]</t>
  </si>
  <si>
    <t>08-04</t>
  </si>
  <si>
    <t>] 30% ; 40% ]</t>
  </si>
  <si>
    <t>08-05</t>
  </si>
  <si>
    <t>] 40% ; 50% ]</t>
  </si>
  <si>
    <t>08-06</t>
  </si>
  <si>
    <t>] 50% ; 60% ]</t>
  </si>
  <si>
    <t>08-07</t>
  </si>
  <si>
    <t>] 60% ; 70% ]</t>
  </si>
  <si>
    <t>08-08</t>
  </si>
  <si>
    <t>] 70% ; 80% ]</t>
  </si>
  <si>
    <t>08-09</t>
  </si>
  <si>
    <t>] 80% ; 90% ]</t>
  </si>
  <si>
    <t>08-10</t>
  </si>
  <si>
    <t>] 90% ; 100% ]</t>
  </si>
  <si>
    <t>08-11</t>
  </si>
  <si>
    <t>08-12</t>
  </si>
  <si>
    <t>08-13</t>
  </si>
  <si>
    <t>09-01</t>
  </si>
  <si>
    <t>09-02</t>
  </si>
  <si>
    <t>09-03</t>
  </si>
  <si>
    <t>09-04</t>
  </si>
  <si>
    <t>10-01</t>
  </si>
  <si>
    <t>10-02</t>
  </si>
  <si>
    <t>10-03</t>
  </si>
  <si>
    <t>10-04</t>
  </si>
  <si>
    <t>10-05</t>
  </si>
  <si>
    <t>10-06</t>
  </si>
  <si>
    <t>10-07</t>
  </si>
  <si>
    <t>10-08</t>
  </si>
  <si>
    <t>10-09</t>
  </si>
  <si>
    <t>10-10</t>
  </si>
  <si>
    <t>10-11</t>
  </si>
  <si>
    <t>Bucket Original Loan-to-Value</t>
  </si>
  <si>
    <t>11-01</t>
  </si>
  <si>
    <t>11-02</t>
  </si>
  <si>
    <t>11-03</t>
  </si>
  <si>
    <t>11-04</t>
  </si>
  <si>
    <t>11-05</t>
  </si>
  <si>
    <t>11-06</t>
  </si>
  <si>
    <t>11-07</t>
  </si>
  <si>
    <t>11-08</t>
  </si>
  <si>
    <t>11-09</t>
  </si>
  <si>
    <t>11-10</t>
  </si>
  <si>
    <t>11-11</t>
  </si>
  <si>
    <t>12-01</t>
  </si>
  <si>
    <t>12-02</t>
  </si>
  <si>
    <t>12-03</t>
  </si>
  <si>
    <t>12-04</t>
  </si>
  <si>
    <t>12-05</t>
  </si>
  <si>
    <t>12-06</t>
  </si>
  <si>
    <t>12-07</t>
  </si>
  <si>
    <t>12-08</t>
  </si>
  <si>
    <t>12-09</t>
  </si>
  <si>
    <t>12-10</t>
  </si>
  <si>
    <t>12-11</t>
  </si>
  <si>
    <t>13-01</t>
  </si>
  <si>
    <t>13-02</t>
  </si>
  <si>
    <t>13-03</t>
  </si>
  <si>
    <t>13-04</t>
  </si>
  <si>
    <t>13-05</t>
  </si>
  <si>
    <t>13-06</t>
  </si>
  <si>
    <t>13-07</t>
  </si>
  <si>
    <t>13-08</t>
  </si>
  <si>
    <t>13-09</t>
  </si>
  <si>
    <t>13-10</t>
  </si>
  <si>
    <t>13-11</t>
  </si>
  <si>
    <t>14-01</t>
  </si>
  <si>
    <t>14-02</t>
  </si>
  <si>
    <t>14-03</t>
  </si>
  <si>
    <t>14-04</t>
  </si>
  <si>
    <t>14-05</t>
  </si>
  <si>
    <t>14-06</t>
  </si>
  <si>
    <t>14-07</t>
  </si>
  <si>
    <t>14-08</t>
  </si>
  <si>
    <t>14-09</t>
  </si>
  <si>
    <t>14-10</t>
  </si>
  <si>
    <t>14-11</t>
  </si>
  <si>
    <t>15-01</t>
  </si>
  <si>
    <t>15-02</t>
  </si>
  <si>
    <t>15-03</t>
  </si>
  <si>
    <t>15-04</t>
  </si>
  <si>
    <t>15-05</t>
  </si>
  <si>
    <t>16-01</t>
  </si>
  <si>
    <t>16-02</t>
  </si>
  <si>
    <t>16-03</t>
  </si>
  <si>
    <t>16-04</t>
  </si>
  <si>
    <t>16-05</t>
  </si>
  <si>
    <t>Property Type</t>
  </si>
  <si>
    <t>17-01</t>
  </si>
  <si>
    <t>17-02</t>
  </si>
  <si>
    <t>17-03</t>
  </si>
  <si>
    <t>17-04</t>
  </si>
  <si>
    <t>17-05</t>
  </si>
  <si>
    <t>17-06</t>
  </si>
  <si>
    <t>17-07</t>
  </si>
  <si>
    <t>17-08</t>
  </si>
  <si>
    <t>17-09</t>
  </si>
  <si>
    <t>18-01</t>
  </si>
  <si>
    <t>18-02</t>
  </si>
  <si>
    <t>18-03</t>
  </si>
  <si>
    <t>18-04</t>
  </si>
  <si>
    <t>18-05</t>
  </si>
  <si>
    <t>18-06</t>
  </si>
  <si>
    <t>18-07</t>
  </si>
  <si>
    <t>18-08</t>
  </si>
  <si>
    <t>18-09</t>
  </si>
  <si>
    <t>18-10</t>
  </si>
  <si>
    <t>18-11</t>
  </si>
  <si>
    <t>18-12</t>
  </si>
  <si>
    <t>18-13</t>
  </si>
  <si>
    <t>18-14</t>
  </si>
  <si>
    <t>18-15</t>
  </si>
  <si>
    <t>Payment Frequency</t>
  </si>
  <si>
    <t>19-01</t>
  </si>
  <si>
    <t>Monthly</t>
  </si>
  <si>
    <t>19-02</t>
  </si>
  <si>
    <t>Quarterly</t>
  </si>
  <si>
    <t>19-03</t>
  </si>
  <si>
    <t>Semi Annual</t>
  </si>
  <si>
    <t>19-04</t>
  </si>
  <si>
    <t>Annual</t>
  </si>
  <si>
    <t>19-05</t>
  </si>
  <si>
    <t>19-97</t>
  </si>
  <si>
    <t>19-98</t>
  </si>
  <si>
    <t>19-99</t>
  </si>
  <si>
    <t>Employment Type</t>
  </si>
  <si>
    <t>20-01</t>
  </si>
  <si>
    <t>Employed - Private Sector</t>
  </si>
  <si>
    <t>20-02</t>
  </si>
  <si>
    <t>Employed - Public Sector</t>
  </si>
  <si>
    <t>20-03</t>
  </si>
  <si>
    <t>Employed - Sector Unknown</t>
  </si>
  <si>
    <t>20-04</t>
  </si>
  <si>
    <t>Unemployed</t>
  </si>
  <si>
    <t>20-05</t>
  </si>
  <si>
    <t>Self-employed</t>
  </si>
  <si>
    <t>20-06</t>
  </si>
  <si>
    <t>No Employment, Obligor is Legal Entity</t>
  </si>
  <si>
    <t>20-07</t>
  </si>
  <si>
    <t>Student</t>
  </si>
  <si>
    <t>20-08</t>
  </si>
  <si>
    <t>Pensioner</t>
  </si>
  <si>
    <t>20-09</t>
  </si>
  <si>
    <t>20-97</t>
  </si>
  <si>
    <t>20-98</t>
  </si>
  <si>
    <t>20-99</t>
  </si>
  <si>
    <t>Guarantee Provider</t>
  </si>
  <si>
    <t>SACCEF</t>
  </si>
  <si>
    <t>CNP</t>
  </si>
  <si>
    <t>Credit Logement</t>
  </si>
  <si>
    <t>Breakdown by Purpose</t>
  </si>
  <si>
    <t>Top 20 Borrowers</t>
  </si>
  <si>
    <t>Top 1</t>
  </si>
  <si>
    <t>Top 2</t>
  </si>
  <si>
    <t>Top 3</t>
  </si>
  <si>
    <t>Top 4</t>
  </si>
  <si>
    <t>Top 5</t>
  </si>
  <si>
    <t>Top 6</t>
  </si>
  <si>
    <t>Top 7</t>
  </si>
  <si>
    <t>Top 8</t>
  </si>
  <si>
    <t>Top 9</t>
  </si>
  <si>
    <t>Top 10</t>
  </si>
  <si>
    <t>Top 11</t>
  </si>
  <si>
    <t>Top 12</t>
  </si>
  <si>
    <t>Top 13</t>
  </si>
  <si>
    <t>Top 14</t>
  </si>
  <si>
    <t>Top 15</t>
  </si>
  <si>
    <t>Top 16</t>
  </si>
  <si>
    <t>Top 17</t>
  </si>
  <si>
    <t>Top 18</t>
  </si>
  <si>
    <t>Top 19</t>
  </si>
  <si>
    <t>Top 20</t>
  </si>
  <si>
    <t>Bucket Original Term to Maturity (in Months)</t>
  </si>
  <si>
    <t>Breakdown Statistics Tables</t>
  </si>
  <si>
    <t>Default &amp; Recovery Historical Statistics</t>
  </si>
  <si>
    <t>Delinquent Performing Home Loans Historical Statistics</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</si>
  <si>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</si>
  <si>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</si>
  <si>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</si>
  <si>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</si>
  <si>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</si>
  <si>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</si>
  <si>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Prepayment Rate Historical Statistics</t>
  </si>
  <si>
    <t>Check</t>
  </si>
  <si>
    <t>(i)</t>
  </si>
  <si>
    <t>(a)</t>
  </si>
  <si>
    <t>(b)</t>
  </si>
  <si>
    <t>(c)</t>
  </si>
  <si>
    <t>(d)</t>
  </si>
  <si>
    <t>(e)</t>
  </si>
  <si>
    <t>(f)</t>
  </si>
  <si>
    <t>France</t>
  </si>
  <si>
    <t>Spain</t>
  </si>
  <si>
    <t xml:space="preserve"> Eligibility Criteria</t>
  </si>
  <si>
    <t>Home Loans Receivables Amount</t>
  </si>
  <si>
    <t>Number of  Home Loans Receivables</t>
  </si>
  <si>
    <t>Home Loan Eligibility Criteria</t>
  </si>
  <si>
    <t>the Home Loan has been originated by Milleis Banque, or has been originated by Barclays France and subsequently transferred by way of asset transfer to Milleis Banque</t>
  </si>
  <si>
    <t>the Home Loan is denominated in Euro;</t>
  </si>
  <si>
    <t>the Home Loan has periodic interest payment streams;</t>
  </si>
  <si>
    <t>the Home Loan has a maximum principal amount of €4,500,000.00</t>
  </si>
  <si>
    <t>the Home Loan is not syndicated;</t>
  </si>
  <si>
    <t>the Home Loan has been granted in accordance with the regular credit assessment and approval processes applied by the Seller in its regular course of business;</t>
  </si>
  <si>
    <t>(g)</t>
  </si>
  <si>
    <t>the Home Loan has interest payments based on generally used market interest rates, or generally used sectoral rates reflective of the cost of funds, and does not reference complex formulae or derivatives;</t>
  </si>
  <si>
    <t>(h)</t>
  </si>
  <si>
    <t>the Home Loan is neither a Defaulted Purchase Home Loan, nor a Delinquent Home
Loan and more generally is not doubtful (douteuse), subject to litigation (litigieuse) or
frozen (immobilisée)</t>
  </si>
  <si>
    <t>the current Outstanding Balance of the Home Loan equals or exceeds Euro [100];</t>
  </si>
  <si>
    <t>(j)</t>
  </si>
  <si>
    <t>(k)</t>
  </si>
  <si>
    <t>the Home Loan is not categorised by the Seller as a non-performing exposure;</t>
  </si>
  <si>
    <t>(l)</t>
  </si>
  <si>
    <t>the Home Loan has not undergone any restructuring in the last three years;</t>
  </si>
  <si>
    <t>(m)</t>
  </si>
  <si>
    <t>the Home Loan forms (along with the contract documenting the same) legal, valid, binding and enforceable obligations with full recourse to the Obligor(s);</t>
  </si>
  <si>
    <t>(n)</t>
  </si>
  <si>
    <t>the Home Loan constitutes an Insured Loan or a Conventional Loan;</t>
  </si>
  <si>
    <t>(o)</t>
  </si>
  <si>
    <t>the loan-to-value (LTV) ratio of the Home Loan, constituting a Conventional Loan,
does not exceed, at the time of its origination, 100%</t>
  </si>
  <si>
    <t>(p)</t>
  </si>
  <si>
    <t>the Home Loan finances or refinances the acquisition or the acquisition and the
renovation, or the construction of residential real estate properties located in
[France]</t>
  </si>
  <si>
    <t xml:space="preserve">(q) </t>
  </si>
  <si>
    <t>In the case of Home Loans that constitute Insured Loans:
(i)	Crédit Logement;
(ii)	SACCEF; or
(iii)	CNP;</t>
  </si>
  <si>
    <t>(r)</t>
  </si>
  <si>
    <t>in the case of Home Loans that constitute Conventional Loans:
(i)	is secured by immovable real-estate located in mainland France;
(ii)	such security is binding and enforceable in accordance with its terms, and has not been amended in a manner that impacts the collectability or enforceability; and
(iii)	the claim against the security is not subordinated nor contingent.</t>
  </si>
  <si>
    <t>(s)</t>
  </si>
  <si>
    <t>the Home Loans does not include transferable securities as defined in Article 4(1), point
44 of Directive 2014/65/EU (as amended, MiFID II), any securitisation position within
the meaning of the Securitisation Regulation or any derivative</t>
  </si>
  <si>
    <t>Home Loans Amount which comply the criteria</t>
  </si>
  <si>
    <t>Number of  Home Loans comply the criteria</t>
  </si>
  <si>
    <t>Home Loans Amount which not comply the criteria</t>
  </si>
  <si>
    <t>Number of  Home Loans not comply the criteria</t>
  </si>
  <si>
    <t>All Home Loans</t>
  </si>
  <si>
    <t>Rejected Home Loans</t>
  </si>
  <si>
    <t>Eligible Home Loans</t>
  </si>
  <si>
    <t>Additional Home Loan Warranties</t>
  </si>
  <si>
    <t>the Borrower is an individual or property investment company (not an SSPE);</t>
  </si>
  <si>
    <t>the Borrower, if it is a private legal entity (personne morale de droit privé),
is registered (immatriculée) in the European Economic Area, or if it is an
individual, is a resident in the European Economic Area;</t>
  </si>
  <si>
    <t>all sums due under the Home Loan (including interest and costs) are fully secured by a fully effective Home Loan Eligible Security;</t>
  </si>
  <si>
    <t>the Home Loan is not labelled as being on payment holiday;</t>
  </si>
  <si>
    <t>the Home Loans and the Ancillary Rights comply with the description given to them in the Receivables Purchase Agreement and in the relevant Assignment Document;</t>
  </si>
  <si>
    <t>as at the Portfolio Cut-off Date, or, as the case may be, as at the relevant date specified in the definition of "Home Loan Eligibility Criteria", the Home Loans comply with the Home Loan Eligibility Criteria;</t>
  </si>
  <si>
    <t>the Borrower is not an employee nor an affiliate of the Seller;</t>
  </si>
  <si>
    <t>the Borrower does not benefit from a contractual right of set-off;</t>
  </si>
  <si>
    <t>the internal credit score of the Borrower under the relevant Home Loan assigned by the Seller indicates that the Borrower is not in default on any other loan granted by the Seller nor that the Borrower is unlikely to pay its obligations to the Seller in full, without recourse by the Seller to action such as realising security;</t>
  </si>
  <si>
    <t>each Home Loan Agreement is governed by French law;</t>
  </si>
  <si>
    <t>each Home Loan Agreement constitutes legal, valid, binding and enforceable contractual obligations of the relevant Borrower with full recourse to the relevant Borrower and such obligations are enforceable in accordance with their respective terms (except that enforceability may be limited by (i) bankruptcy or insolvency of the Borrower or other laws relating to over-indebtedness (surendettement) or enforcement of general applicability affecting the enforcement rights of creditors generally or (ii) the existence of unfair contract terms (clauses abusives) as defined by articles L.212-1 et seq. of the French Consumer Code in the Home Loan Agreements (provided they would not (A) affect the right of the Issuer to purchase the Home Loan as contemplated under the Receivables Purchase Agreement or (B) deprive the Issuer of its rights to receive principal and to receive interest as provided for under the Home Loan);</t>
  </si>
  <si>
    <t>no Home Loan Agreement contains any unfair contract terms (clauses abusives) as defined by articles L.212-1 et seq. of the French Consumer Code which would result in (i) the assignment of the corresponding Home Loans by the Seller to the Issuer as contemplated under the Receivables Purchase Agreement becoming invalid or unlawful or (ii) depriving the Issuer of its rights to receive principal and interest under such Home Loans in accordance with the terms of such Home Loan Agreements after the assignment of such Home Loans by the Seller to the Issuer;</t>
  </si>
  <si>
    <t>the Seller has complied with all its legal obligations in originating the relevant Home Loan Agreement, including without limitation any duty of care (obligation de conseil) in the execution of such Home Loan Agreement;</t>
  </si>
  <si>
    <t>the Seller has complied with its legal obligations towards the Borrower(s) in all material respects in originating each Home Loan Agreement, including without limitation with respect to its obligation to provide all mandatory pre-contractual information and its duty to warn the Borrower(s) (obligation de mise en garde) in the execution of such Home Loan Agreement;</t>
  </si>
  <si>
    <t>the Seller has full title to the Home Loans and the related Ancillary Rights immediately prior to their assignment or transfer to the Issuer, and the Home Loans and the related Ancillary Rights are not subject to, either in whole or in part, any assignment, delegation or pledge, attachment, warranty claims, set- off nor encumbrance of whatever type, in particular any rights of third parties, or otherwise in a condition, that can be foreseen to adversely affect the enforceability of the assignment of the Home Loans or any related Ancillary Right to the Issuer;</t>
  </si>
  <si>
    <t>the Home Loans are not subject to dispute or counterclaim;</t>
  </si>
  <si>
    <t>(q)</t>
  </si>
  <si>
    <t>the Home Loan Agreement does not include any provision which expressly states that any right or claim of a Borrower against the Seller under other contractual arrangements is closely connected (connexes) to the Home Loan provided to such Borrower;</t>
  </si>
  <si>
    <t>the assignment of the Home Loan and the assignment and transfer of the Ancillary Rights to the Issuer does not require the prior consent of the Borrower;</t>
  </si>
  <si>
    <t>any filing required by law no. 78-17 of 6 January 1978 relating to the protection of personal data (Loi relative à l'informatique, aux fichiers et aux libertés) or the Regulation no EU/2016/679 on the protection of natural persons with regard to the processing of personal data and on the free movement of such data, with respect to the Borrower of the Home Loan has been made with the Commission Nationale de l'Informatique et des Libertés;</t>
  </si>
  <si>
    <t>(t)</t>
  </si>
  <si>
    <t>the relevant Home Loan has not been marketed and underwritten on the premise that the Borrower as loan applicant or, where applicable, intermediaries were made aware that the information provided might not be verified by the Seller;</t>
  </si>
  <si>
    <t>(u)</t>
  </si>
  <si>
    <t>the Borrower is not a credit-impaired obligor within the meaning of Article 178(1) of CRR, where a credit-impaired obligor is any obligor that, to the best of the Seller's knowledge:</t>
  </si>
  <si>
    <t>(u) (i) (1)</t>
  </si>
  <si>
    <t>has been declared insolvent (meaning for the purpose of this Additional Home Loan Warranty, being subject to a judicial liquidation proceedings (procédure de rétablissement personnel), pursuant to the provisions of Title IV of Livre VII of the French Consumer Code (or, before the 1st of July 2016, Titre III of Livre III of the French Consumer Code), to any insolvency proceeding pursuant to the provisions of articles L.620-1 et seq. of the French Commercial Code or to a review by a jurisdiction pursuant to article 1343-5 of the French Civil Code (or, before the 1st of October 2016, article 1244-1 of the French Civil Code) before a court), or</t>
  </si>
  <si>
    <t>(u) (i) (2)</t>
  </si>
  <si>
    <t>had a court grant his creditors a final non-appealable right of enforcement or material damages as a result of a missed payment, in relation to item (1) within three (3) years prior to the date of origination of the relevant Home Loan, or</t>
  </si>
  <si>
    <t>(u) (i) (3)</t>
  </si>
  <si>
    <t>has undergone a debt restructuring process with regard to its non-performing exposures within three (3) years prior to the Portfolio Cut-off Date, except where:</t>
  </si>
  <si>
    <t>(u) (i) (3) (i)</t>
  </si>
  <si>
    <t>the relevant Home Loan has been restructured at least one (1) year prior to the Portfolio Cut-off Date and has not presented new arrears since the date of the restructuring; and</t>
  </si>
  <si>
    <t>(u) (i) (3) (ii)</t>
  </si>
  <si>
    <t>the Seller sets out the time and details of the restructuring and the performance of the relevant Home Loan since the date of the restructuring;</t>
  </si>
  <si>
    <t>(u) (ii)</t>
  </si>
  <si>
    <t>was, at the time of the origination of the relevant Home Loan on a public credit registry of persons with adverse credit history (meaning for the purpose of this Additional Home Loan Warranty being registered in Banque de France's FICP file (Fichier des incidents de remboursement des crédits des particuliers)) or, where there is no such public credit registry, another credit registry that is available to the Seller;</t>
  </si>
  <si>
    <t>(u) (iii)</t>
  </si>
  <si>
    <t>(iii)	has a credit assessment by an ECAI or has a credit score indicating that the risk of contractually agreed payments not being made is significantly higher than for comparable exposures held by the Seller which are not Home Loans,</t>
  </si>
  <si>
    <t>Total Asset
Outstanding
 Amount</t>
  </si>
  <si>
    <t>Total 
expected
interest flows</t>
  </si>
  <si>
    <t>Total 
expected
amortisation in principal</t>
  </si>
  <si>
    <t>&gt;&gt; Up</t>
  </si>
  <si>
    <t>Information Date</t>
  </si>
  <si>
    <t>Settlement Date</t>
  </si>
  <si>
    <t/>
  </si>
  <si>
    <t>means the date falling [two] Business Days after a Settlement Date; provided that the first Payment Date will fall on [25 April] 2024.</t>
  </si>
  <si>
    <t>means the date falling, at the latest, two Business Days after the 5th, 10th, 15th, 20th, 25th, 28th, 30th and 31st of each calendar month.</t>
  </si>
  <si>
    <t>Monthly Collection Period Beginning</t>
  </si>
  <si>
    <t>Monthly Collection Period End Date</t>
  </si>
  <si>
    <t>Quartely Collection Period Beginning</t>
  </si>
  <si>
    <t>Quartely Collection Period End Date</t>
  </si>
  <si>
    <t>means, during the Normal Redemption Period, the [twenty-third (23rd)] calendar day of the first calendar month of each quarter (being the months of January, April, July and October in each year) subject to the Business Day Convention; provided that the first Settlement Date will fall on [23 April] 2024.</t>
  </si>
  <si>
    <t>Monthly Collection Period</t>
  </si>
  <si>
    <t>Monthly Cut-Off Date</t>
  </si>
  <si>
    <t>Means the last calendar date of each month. Monthly Cut Off Date (TBD)</t>
  </si>
  <si>
    <t>means (i) the period starting from and including the [Closing Date] to and including the next Monthly Cut Off Date and (ii) thereafter, each period commencing on (and excluding) a Monthly Cut Off Date and ending on (and including) the immediately following Cut-Off Date.</t>
  </si>
  <si>
    <t>Quartely Collection Period</t>
  </si>
  <si>
    <t>Final Legal Maturity Date</t>
  </si>
  <si>
    <t>Quartely Cut-Off Date</t>
  </si>
  <si>
    <t>31 March, 30 June, 30 September and 31 Decembre. First Quarterly Cut Off Date (TBD)</t>
  </si>
  <si>
    <t>Data Reference Date</t>
  </si>
  <si>
    <t>Determination Date</t>
  </si>
  <si>
    <t>Interest Payment Date</t>
  </si>
  <si>
    <t>Issue Date</t>
  </si>
  <si>
    <t xml:space="preserve">Optional Redemption Date </t>
  </si>
  <si>
    <t>Portfolio Cut-off Date</t>
  </si>
  <si>
    <t xml:space="preserve">Purchase Date </t>
  </si>
  <si>
    <t>means the Issue Date.</t>
  </si>
  <si>
    <t>Re-assignment Date</t>
  </si>
  <si>
    <t>means, with respect to any Purchased Home Loan, the date on which such Purchased Home Loan is re-assigned or which sale is rescinded, under and subject to the terms of the Receivables Purchase Agreement, such date falling on the fifteenth (15th) Business Day of each calendar month, being provided that if this fifteen (15th) Business Day is not preceded by at least [two (2)] consecutive Business Days, such date will be the first preceding or following Business Day which is preceded by at least [two (2)] consecutive Business Days, or any other date agreed between the parties.</t>
  </si>
  <si>
    <t>Class A Notes</t>
  </si>
  <si>
    <t>Portfolio Outstanding</t>
  </si>
  <si>
    <t>Interest Account</t>
  </si>
  <si>
    <t>Principal Account</t>
  </si>
  <si>
    <t>EUR</t>
  </si>
  <si>
    <t>Rating Agencies</t>
  </si>
  <si>
    <t>Prepayment Rate</t>
  </si>
  <si>
    <t xml:space="preserve"> Prepayment Ratio</t>
  </si>
  <si>
    <t>dimitri.bellaiche@iqeq.com</t>
  </si>
  <si>
    <t>Arranger</t>
  </si>
  <si>
    <t>ALANTRA</t>
  </si>
  <si>
    <t xml:space="preserve">Quartely Collection period	</t>
  </si>
  <si>
    <t>Nominal value per Note</t>
  </si>
  <si>
    <t>Issue price</t>
  </si>
  <si>
    <t>Ranking</t>
  </si>
  <si>
    <t>Notes Outstanding Amount - Beginning Period</t>
  </si>
  <si>
    <t>Issue Amount</t>
  </si>
  <si>
    <t>Redemption</t>
  </si>
  <si>
    <t>Notes Outstanding Amount - Ending Period</t>
  </si>
  <si>
    <t xml:space="preserve"> Outstanding Amount by note - Ending Period</t>
  </si>
  <si>
    <t>Class B Notes</t>
  </si>
  <si>
    <t>Number of Class B Notes</t>
  </si>
  <si>
    <t>Number of Class A Notes</t>
  </si>
  <si>
    <t>Opening balance</t>
  </si>
  <si>
    <t>Data Protection Agent</t>
  </si>
  <si>
    <t>Quartely Cut Off Date</t>
  </si>
  <si>
    <t>Priority of payment on dates other than Payment Dates</t>
  </si>
  <si>
    <t>(i)	the Issuer Operating Expenses due to the Account Bank and which are to be paid on a day other than a Payment Date by debiting the Reserve Account</t>
  </si>
  <si>
    <t>(ii)	the absolute value of the aggregate net income (if negative) generated by the investment of the Issuer Cash from all the Issuer Accounts and which are to be paid on a day other than a Payment Date by debiting the Costs Reserve Account</t>
  </si>
  <si>
    <t>(iii)	any Corrected Available Principal Collections due to the Seller and which are to be paid on the Collection Payment Date immediately following the date on which such Corrected Available Principal Collections are due by debiting the General Account</t>
  </si>
  <si>
    <t>(iv)	any Re-assignment Price Refund or any Rescission Amount Refund due to the Seller and related to any re-assignment or rescission of any Home Loan of the Seller and which are to be paid of the Collection Payment Date immediately following such Re-assignment Date by debiting the General Account</t>
  </si>
  <si>
    <t>ISIN code</t>
  </si>
  <si>
    <t>Setting up of the Transaction including the review and execution of the Issuer Transaction Documents</t>
  </si>
  <si>
    <t>Each Settlement Date</t>
  </si>
  <si>
    <t>The Settlement Date following the change of Issuer Organ</t>
  </si>
  <si>
    <r>
      <rPr>
        <b/>
        <sz val="28"/>
        <color theme="2" tint="-0.749992370372631"/>
        <rFont val="Calibri"/>
        <family val="2"/>
        <scheme val="minor"/>
      </rPr>
      <t>FCT French Prime Cash</t>
    </r>
    <r>
      <rPr>
        <b/>
        <sz val="28"/>
        <rFont val="Calibri"/>
        <family val="2"/>
        <scheme val="minor"/>
      </rPr>
      <t xml:space="preserve"> </t>
    </r>
    <r>
      <rPr>
        <b/>
        <sz val="28"/>
        <color theme="9" tint="-0.249977111117893"/>
        <rFont val="Calibri"/>
        <family val="2"/>
        <scheme val="minor"/>
      </rPr>
      <t>2023</t>
    </r>
  </si>
  <si>
    <t>Residual Unit</t>
  </si>
  <si>
    <t>-</t>
  </si>
  <si>
    <t xml:space="preserve">08- Issuer account </t>
  </si>
  <si>
    <t>FR001400MGQ7</t>
  </si>
  <si>
    <t>FR001400MGO2</t>
  </si>
  <si>
    <t>on each Payment Date with the Available Principal Distribution Amount, in accordance with the Principal Priority of Payments or Accelerated Redemption Priority of Payments, as applicable.</t>
  </si>
  <si>
    <t>on each Payment Date with the Available Interest Distribution Amount, in accordance with the Interest Priority of Payments or Accelerated Redemption Priority of Payments, as applicable.</t>
  </si>
  <si>
    <t>Senior</t>
  </si>
  <si>
    <t>BNPSS</t>
  </si>
  <si>
    <t xml:space="preserve">Hugo Lavayssière / Omar Ghannam/ Dimitri Bellaiche </t>
  </si>
  <si>
    <t xml:space="preserve"> Summary</t>
  </si>
  <si>
    <t>Asset Follow Up (Euros)</t>
  </si>
  <si>
    <t>Collection</t>
  </si>
  <si>
    <t>Asset Amortisation Profile</t>
  </si>
  <si>
    <t>Number of Notes</t>
  </si>
  <si>
    <t>Note Principal Outstanding Amount</t>
  </si>
  <si>
    <t>Interest Period</t>
  </si>
  <si>
    <t>Interest amount due per Note</t>
  </si>
  <si>
    <t>Starting Date</t>
  </si>
  <si>
    <t xml:space="preserve"> Ending Date</t>
  </si>
  <si>
    <t>Notes Interest</t>
  </si>
  <si>
    <t>Fixed rate</t>
  </si>
  <si>
    <t>Key Figures 1 (TBC)</t>
  </si>
  <si>
    <t>Key Figures 2 (TBC)</t>
  </si>
  <si>
    <t>Key Figures 3 (TBC)</t>
  </si>
  <si>
    <t>Key Figures 4 (TBC)</t>
  </si>
  <si>
    <t>Key Figures 5 (TBC)</t>
  </si>
  <si>
    <t>Residual Units Outstanding Amount - Beginning Period</t>
  </si>
  <si>
    <t>Residual Units Outstanding Amount - Ending Period</t>
  </si>
  <si>
    <t>Number of Residual Units</t>
  </si>
  <si>
    <t xml:space="preserve"> Outstanding Amount by Residual Unit - Ending Period</t>
  </si>
  <si>
    <t>Event</t>
  </si>
  <si>
    <t>Issuer Liquidation Event</t>
  </si>
  <si>
    <t>(a)	the liquidation is in the interest of the Residual Unitholder and Noteholders in accordance with the French Monetary and Financial Code;</t>
  </si>
  <si>
    <t>(b)	at any time, the aggregate Outstanding Balances of the Performing Home Loans held by the Issuer falls below [ten (10)] per cent of the aggregate Outstanding Balances of the Home Loans at the Issuer Establishment Date;</t>
  </si>
  <si>
    <t xml:space="preserve">(c)	the Notes and the Residual Units issued by the Issuer are held by a single holder and such holder requests the liquidation of the Issuer; </t>
  </si>
  <si>
    <t>(d)	the Notes and the Residual Units issued by the Issuer are held by the Seller and the Seller requests the liquidation of the Issuer</t>
  </si>
  <si>
    <t>(e)	the Final Legal Maturity Date has occurred.</t>
  </si>
  <si>
    <t>Accelerated Redemption Event</t>
  </si>
  <si>
    <t xml:space="preserve">(a)	any amount of interest due and payable on the Class A Notes remains unpaid after [5] Business Days following the relevant Payment Date; </t>
  </si>
  <si>
    <t>(b)	a Servicer Termination Event has occurred and is continuing,</t>
  </si>
  <si>
    <t>Custodian Termination Event</t>
  </si>
  <si>
    <t xml:space="preserve">(A)	if the Custodian's banking licence (agrément) issued by the ACPR is withdrawn for any reason whatsoever; </t>
  </si>
  <si>
    <t xml:space="preserve">(B)	upon notice delivered by the Management Company to the Custodian, the other parties to the Transaction Documents and the Rating Agencies, after the occurrence of any of the following events:
                I.	the Custodian breaches any of its material obligations, whether legal or under any Transaction Document; </t>
  </si>
  <si>
    <t>(B)	upon notice delivered by the Management Company to the Custodian, the other parties to the Transaction Documents and the Rating Agencies, after the occurrence of any of the following events:
                II.	the Custodian is unable to carry out its duties</t>
  </si>
  <si>
    <t>(C)	by the Custodian, subject to not less than three (3) months' prior written notice to the Management Company, the other parties to the Transaction Documents and the Rating Agencies, at any time and for any reason</t>
  </si>
  <si>
    <t>Management Termination Event</t>
  </si>
  <si>
    <t>(A)	if the Management Company's licence (agrément) issued by the AMF is withdrawn for any reason whatsoever</t>
  </si>
  <si>
    <t xml:space="preserve">(B)	upon notice delivered by the Custodian to the AMF, the other parties to the Transaction Documents and the Rating Agencies, after the occurrence of any of the following events:
</t>
  </si>
  <si>
    <t xml:space="preserve">I.	a decision made by the Management Company proves to be irregular (irrégulière) within the meaning of article L.214-175-2 of the French Monetary and Financial Code; </t>
  </si>
  <si>
    <t>II.	the Management Company is unable to carry out its duties;</t>
  </si>
  <si>
    <t xml:space="preserve">III.	a decision of the Class A Noteholders made in accordance with Condition 7 (Representative of Class A Noteholders) of the Terms and Conditions of the Class A Notes and/or the Class B Noteholders made in accordance with Condition 7 (Representative of Class B Noteholders) of the Terms and Conditions of the Class B Notes for any legitimate reason to request the Custodian to deliver such notice to the AMF; </t>
  </si>
  <si>
    <t>IV.	a material breach of its obligations under any Transaction Documents;</t>
  </si>
  <si>
    <t>(C)	by the Management Company, subject to a three (3) months prior written notice of the Management Company and the Seller, at any time and for any reason;</t>
  </si>
  <si>
    <t xml:space="preserve">Principal Priority of payment </t>
  </si>
  <si>
    <t>Interest Priority of payment</t>
  </si>
  <si>
    <t>(a)	payment of the Principal Reallocated Amount due and payable on such Payment Date</t>
  </si>
  <si>
    <t xml:space="preserve">(b)	during the Normal Redemption Period only, towards payment on a pari passu basis of the Class A Notes Principal Payment (and any principal arrears) to the Class A Noteholders until all the Class A Notes have been redeemed in full; </t>
  </si>
  <si>
    <t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t>
  </si>
  <si>
    <t>(d)	on the Issuer Liquidation Date, to the payment of the liquidation surplus (boni de liquidation) to the Residual Unitholder as principal and interest.</t>
  </si>
  <si>
    <t>Available Principal Distribution Amount</t>
  </si>
  <si>
    <t>Available Interest Distribution Amount</t>
  </si>
  <si>
    <t>(a)	payment, if any, of the Servicer Fees Arrears</t>
  </si>
  <si>
    <t>(b)	payment of the Servicer Fees;</t>
  </si>
  <si>
    <t>(c)	payment, if any, of the Issuer Operating Expenses Arrears to each relevant creditor;</t>
  </si>
  <si>
    <t>(d)	payment of the Issuer Operating Expenses, excluding the Servicer Fees paid under paragraph (b) above, to each relevant creditor;</t>
  </si>
  <si>
    <t xml:space="preserve">(e)	payment pari passu and pro rata of the Class A Notes Interest Amount and, in priority thereto, any Class A Notes Interest Shortfall, due and payable to the Class A Noteholders; </t>
  </si>
  <si>
    <t>(f)	credit of the Class A Notes Deficiency Ledger in an amount sufficient to eliminate any debit thereof;</t>
  </si>
  <si>
    <t>(g)	transfer into the Reserve Account of an amount such as the amount standing to the credit of the Reserve Account after such transfer is equal to the Reserve Fund Required Amount;</t>
  </si>
  <si>
    <t>(h)	payment pari passu and pro rata of the Class B Notes Interest Amount and, in priority thereto, any Class B Notes Interest Shortfall, due and payable to the Class B Noteholders;</t>
  </si>
  <si>
    <t>10</t>
  </si>
  <si>
    <t>11</t>
  </si>
  <si>
    <t>12</t>
  </si>
  <si>
    <t>(i)	credit of the Class B Notes Deficiency Ledger in an amount sufficient to eliminate any debit thereof;</t>
  </si>
  <si>
    <t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t>
  </si>
  <si>
    <t>(l)	payment on a pro rata basis of any remaining credit balance on the Interest Account as interest to the Residual Unitholders.</t>
  </si>
  <si>
    <t>Accelerated Redemption Priority of Payments</t>
  </si>
  <si>
    <t>Available Distribution Amount</t>
  </si>
  <si>
    <t>(a)	payment, if any, of the Servicer Fees Arrears;</t>
  </si>
  <si>
    <t>(e)	payment pari passu and pro rata of the Class A Notes Interest Amount and, in priority thereto, any Class A Notes Interest Shortfall, due and payable to the Class A Noteholders;</t>
  </si>
  <si>
    <t>(f)	transfer into the Reserve Account of an amount such as the amount standing to the credit of the Reserve Account after such transfer is equal to the Reserve Fund Required Amount;</t>
  </si>
  <si>
    <t>(g)	payment pari passu and pro rata of any and all outstanding principal amounts under the Class A Notes;</t>
  </si>
  <si>
    <t>(h)	only once the Class A Notes have been redeemed in full, payment pari passu and pro rata of the Class B Notes Interest Amount and, in priority thereto, any Class B Notes Interest Shortfall, due and payable to the Class B Noteholders;</t>
  </si>
  <si>
    <t>(i)	payment pari passu and pro rata of any and all outstanding principal amounts under the Class B Notes; and</t>
  </si>
  <si>
    <t>(j)	payment of any reasonable and duly documented fees incurred in connection with the operation of the Issuer, in each case under the provisions of the Issuer Regulations or the other Transaction Documents, as applicable, which are not otherwise specified or provided for in paragraph (c) to (d) (inclusive) above;</t>
  </si>
  <si>
    <t xml:space="preserve">(k)	subject to the full redemption of the Notes and the payments of any other amounts ranking senior, repayment of the outstanding amount of the Reserve Fund; </t>
  </si>
  <si>
    <t>(l)	on the Issuer Liquidation Date, to the payment of the liquidation surplus (boni de liquidation) to the Residual Unitholder as principal and interest.</t>
  </si>
  <si>
    <t>(a)	any breach by the Servicer of
                (i)	any of its material obligations (other than a payment obligation and except providing its Servicer Report to the Management Company on any Information Date) and such breach is not remedied by the Servicer within sixty (60) calendar days following receipt by the Servicer of a notice thereof from the Management Company or the Servicer becoming aware of the same</t>
  </si>
  <si>
    <t>(a)	any breach by the Servicer of
             (ii)	any of its payment obligations under any Transaction Documents to which it is a party, except if such breach is due to technical reasons and such breach is not remedied by the Servicer within [five (5)] Business Days;</t>
  </si>
  <si>
    <t>(b)	the Servicer has not provided the Management Company with the Servicer Report on the relevant Information Date and such breach is not remedied by the Servicer within [five (5)] Business Days after the relevant Information Date.</t>
  </si>
  <si>
    <t>(c)	any representation or warranty made by the Servicer under the Transaction Documents to which it is a party, proves to be materially false or incorrect provided that the Management Company has determined and confirmed in writing that such breach is materially detrimental to the interests of the Noteholders and Residual Unitholder and unless such event is not remedied by the Servicer within sixty (60) calendar days following receipt by the Servicer of a notice thereof from the Management Company or (if sooner) the Servicer has knowledge of the same;</t>
  </si>
  <si>
    <t>(d)	an Insolvency Event occurs in respect of the Servicer;</t>
  </si>
  <si>
    <t xml:space="preserve">(e)	the Servicer’s banking license is withdrawn pursuant to the provisions of the French Monetary and Financial Code; </t>
  </si>
  <si>
    <t>(f)	it is or becomes unlawful for the Servicer to perform or comply with any or all of its material obligations under the Servicing Agreement or any or all of its material obligations under the Servicing Agreement are not, or cease to be, legal, valid and binding.</t>
  </si>
  <si>
    <t>Account Bank Termination Event</t>
  </si>
  <si>
    <t>(a)	any material representation or warranty made by the Account Bank is or proves to have been incorrect or misleading in any material respect when made, and the same is not remedied (if capable of remedy)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</si>
  <si>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(b)	the Account Bank fails to comply with any of its material obligations under the Account Bank Agreement unless such breach is capable of remedy and is remedied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</si>
  <si>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(c)	an Insolvency Event occurs in respect of the Account Bank;</t>
  </si>
  <si>
    <t>(d)	at any time it is or becomes unlawful for the Account Bank to perform or comply with any or all of its material obligations under the Account Bank Agreement or any or all of its material obligations under the Account Bank Agreement are not, or cease to be, legal, valid and binding</t>
  </si>
  <si>
    <t>(e)	any failure by the Account Bank to make any payment under any Transaction Documents to which it is a party, when due, except if such failure is due to technical reasons and is remedied within [five (5)] Business Days.</t>
  </si>
  <si>
    <t xml:space="preserve">Notes Follow-up - EUR </t>
  </si>
  <si>
    <t>Class A Notes Interest Amount</t>
  </si>
  <si>
    <t xml:space="preserve">Class B Notes Interest Amount </t>
  </si>
  <si>
    <t>Principal Deficiency Ledge (Normal Redemption Period)</t>
  </si>
  <si>
    <t>Class B Principal Deficiency Ledger 
Beginning Period</t>
  </si>
  <si>
    <t>Class A Note Outstanding Amount</t>
  </si>
  <si>
    <t>Class B Note Outstanding Amount</t>
  </si>
  <si>
    <t>Class B Principal Deficiency Ledger 
Ending Period</t>
  </si>
  <si>
    <t>Interest Reallocated Amounts (Credit)</t>
  </si>
  <si>
    <t>Default Amount (Debit)</t>
  </si>
  <si>
    <t>Principal Reallocated Amounts (Debit)</t>
  </si>
  <si>
    <t>Class A Principal Deficiency Ledger 
Ending Period</t>
  </si>
  <si>
    <t>Class A Principal Deficiency Ledger 
Beginning Period</t>
  </si>
  <si>
    <t>the Home Loan has given rise to at least one instalment, which has been paid in full to
the Seller by the relevant Borrower(s), at the latest, on the Issue Date</t>
  </si>
  <si>
    <t>Roll-forward Principal Outstanding balance</t>
  </si>
  <si>
    <t>Roll-forward  - Unpaid Balance</t>
  </si>
  <si>
    <t>ICNE</t>
  </si>
  <si>
    <t>AGEING BALANCE</t>
  </si>
  <si>
    <t>GLOBAL STATISTICS</t>
  </si>
  <si>
    <t>Date Arrete</t>
  </si>
  <si>
    <t>Status (S=Sain;D=Defaulted)</t>
  </si>
  <si>
    <t>Opening Outstanding Balances of the Home Loans</t>
  </si>
  <si>
    <t>Recapitalization into the principal outstanding balance</t>
  </si>
  <si>
    <t xml:space="preserve">Principal balance of receivables becoming Defaulted Home Loans </t>
  </si>
  <si>
    <t xml:space="preserve">Principal balance of receivables becoming Performing Home Loans </t>
  </si>
  <si>
    <t>Closing Outstanding Balances of the Home Loans (declared)</t>
  </si>
  <si>
    <t>Opening unpaid balance of The Home Loans</t>
  </si>
  <si>
    <t>Collections &amp; recoveries</t>
  </si>
  <si>
    <t>Recapitalization
into the Principal 0utstanding Balance of The Home Loans</t>
  </si>
  <si>
    <t xml:space="preserve">Losses amount </t>
  </si>
  <si>
    <t xml:space="preserve">Re-transferred Amount </t>
  </si>
  <si>
    <t>Rescission Amount</t>
  </si>
  <si>
    <t>Unpaid Balance
becomming Defauted Home Loans</t>
  </si>
  <si>
    <t>Unpaid Balance
becomming Performing Home Loans</t>
  </si>
  <si>
    <t>Closing unpaid balance of The Home Loans
(Declared)</t>
  </si>
  <si>
    <t>Amount recovered after acceleration</t>
  </si>
  <si>
    <t>Undue Amount</t>
  </si>
  <si>
    <t>ICNE All Receivables</t>
  </si>
  <si>
    <t>ICNE New receivables</t>
  </si>
  <si>
    <t>ICNE Retranfert</t>
  </si>
  <si>
    <t>ICNE Recission</t>
  </si>
  <si>
    <t>Item</t>
  </si>
  <si>
    <t>Libelle Item</t>
  </si>
  <si>
    <t>CRD</t>
  </si>
  <si>
    <t>Number</t>
  </si>
  <si>
    <t>Original Balance</t>
  </si>
  <si>
    <t>Miscellaneous
 but arrears</t>
  </si>
  <si>
    <t>Interests arrears</t>
  </si>
  <si>
    <t>Other
 arrears</t>
  </si>
  <si>
    <t>S</t>
  </si>
  <si>
    <t>D</t>
  </si>
  <si>
    <t>Weighted Average Current Loan-to-Value</t>
  </si>
  <si>
    <t>FLIF</t>
  </si>
  <si>
    <t>FINX</t>
  </si>
  <si>
    <t>FXRL</t>
  </si>
  <si>
    <t>FXPR</t>
  </si>
  <si>
    <t>FLCF</t>
  </si>
  <si>
    <t>FLFL</t>
  </si>
  <si>
    <t>CAPP</t>
  </si>
  <si>
    <t>FLCA</t>
  </si>
  <si>
    <t>DISC</t>
  </si>
  <si>
    <t>SWIC</t>
  </si>
  <si>
    <t>OBLS</t>
  </si>
  <si>
    <t>MODE</t>
  </si>
  <si>
    <t>OTHR</t>
  </si>
  <si>
    <t>LTE 10%</t>
  </si>
  <si>
    <t>MNTH</t>
  </si>
  <si>
    <t>QUTR</t>
  </si>
  <si>
    <t>SEMI</t>
  </si>
  <si>
    <t>YEAR</t>
  </si>
  <si>
    <t>EMRS</t>
  </si>
  <si>
    <t>EMBL</t>
  </si>
  <si>
    <t>EMUK</t>
  </si>
  <si>
    <t>UNEM</t>
  </si>
  <si>
    <t>SFEM</t>
  </si>
  <si>
    <t>NOEM</t>
  </si>
  <si>
    <t>STNT</t>
  </si>
  <si>
    <t>PNNR</t>
  </si>
  <si>
    <t>SELLER_ID</t>
  </si>
  <si>
    <t>New Transferred Receivables</t>
  </si>
  <si>
    <t>2138008864ADTHGQP554</t>
  </si>
  <si>
    <t>New Receivables Amount</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</si>
  <si>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</si>
  <si>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</si>
  <si>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Outstanding Balances of the Affected Home Loans</t>
  </si>
  <si>
    <t>Interest amount on late payment of instalments</t>
  </si>
  <si>
    <t>Amount paid in late penalties</t>
  </si>
  <si>
    <t>Amount paid in deffered interest (e.g. in case of a break)</t>
  </si>
  <si>
    <t>aggregate prepayment amounts during the immediately preceding Collection Period</t>
  </si>
  <si>
    <t>Outstanding Balance of the Performing Home Loans on the Determination Date preceding the one ending such Collection Period</t>
  </si>
  <si>
    <t>31 - 60 days past due outstanding of deliquent Home Loans</t>
  </si>
  <si>
    <t>01 - 30 days past due outstanding of deliquent Home Loans</t>
  </si>
  <si>
    <t>61 - 90 days past due outstanding of deliquent Home Loans</t>
  </si>
  <si>
    <t>None past due outstanding of Home Loans</t>
  </si>
  <si>
    <t>LTE 10 000</t>
  </si>
  <si>
    <t>] 10 000 ; 50 000 ]</t>
  </si>
  <si>
    <t>] 50 000 ; 100 000 ]</t>
  </si>
  <si>
    <t>] 100 000 ; 250 000 ]</t>
  </si>
  <si>
    <t>] 250 000 ; 500 000 ]</t>
  </si>
  <si>
    <t>] 500 000 ; 1 000 000 ]</t>
  </si>
  <si>
    <t>] 1 000 000 ; 2 000 000 ]</t>
  </si>
  <si>
    <t>GT 2 000 000</t>
  </si>
  <si>
    <t>LTE 12</t>
  </si>
  <si>
    <t>] 12 ; 60 ]</t>
  </si>
  <si>
    <t>] 60 ; 120 ]</t>
  </si>
  <si>
    <t>] 120 ; 180 ]</t>
  </si>
  <si>
    <t>] 180 ; 240 ]</t>
  </si>
  <si>
    <t>GT 240</t>
  </si>
  <si>
    <t>] 240 ; 300 ]</t>
  </si>
  <si>
    <t>GT 300</t>
  </si>
  <si>
    <t>06-17</t>
  </si>
  <si>
    <t>06-18</t>
  </si>
  <si>
    <t>06-19</t>
  </si>
  <si>
    <t>06-20</t>
  </si>
  <si>
    <t>06-21</t>
  </si>
  <si>
    <t>LTE 1,00%</t>
  </si>
  <si>
    <t>] 1,00% ; 2,00% ]</t>
  </si>
  <si>
    <t>] 2,00% ; 3,00% ]</t>
  </si>
  <si>
    <t>] 3,00% ; 4,00% ]</t>
  </si>
  <si>
    <t>] 4,00% ; 5,00% ]</t>
  </si>
  <si>
    <t>GT 5,00%</t>
  </si>
  <si>
    <t>GT 100%</t>
  </si>
  <si>
    <t>Primary Residence</t>
  </si>
  <si>
    <t>Buy to Let</t>
  </si>
  <si>
    <t>Secondary Residence</t>
  </si>
  <si>
    <t>Buy to Let - Building</t>
  </si>
  <si>
    <t>Primary Residence (incl. Renovation)</t>
  </si>
  <si>
    <t>Buy to Let (incl. Renovation)</t>
  </si>
  <si>
    <t>Primary Residence - Building</t>
  </si>
  <si>
    <t>Secondary Residence (incl. Renovation)</t>
  </si>
  <si>
    <t>Secondary Residence - Building</t>
  </si>
  <si>
    <t>Primary Residence - Renovation</t>
  </si>
  <si>
    <t>FRXX</t>
  </si>
  <si>
    <t>DEXX</t>
  </si>
  <si>
    <t>FIXE</t>
  </si>
  <si>
    <t>BLLT</t>
  </si>
  <si>
    <t>17-10</t>
  </si>
  <si>
    <t>ND2</t>
  </si>
  <si>
    <t>18-16</t>
  </si>
  <si>
    <t>18-17</t>
  </si>
  <si>
    <t>18-18</t>
  </si>
  <si>
    <t>18-19</t>
  </si>
  <si>
    <t>18-20</t>
  </si>
  <si>
    <t>FR101</t>
  </si>
  <si>
    <t>FR102</t>
  </si>
  <si>
    <t>FR103</t>
  </si>
  <si>
    <t>FR104</t>
  </si>
  <si>
    <t>FR105</t>
  </si>
  <si>
    <t>19-06</t>
  </si>
  <si>
    <t>FR106</t>
  </si>
  <si>
    <t>19-07</t>
  </si>
  <si>
    <t>FR107</t>
  </si>
  <si>
    <t>19-08</t>
  </si>
  <si>
    <t>FR108</t>
  </si>
  <si>
    <t>19-09</t>
  </si>
  <si>
    <t>FRB01</t>
  </si>
  <si>
    <t>19-10</t>
  </si>
  <si>
    <t>FRB02</t>
  </si>
  <si>
    <t>19-11</t>
  </si>
  <si>
    <t>FRB03</t>
  </si>
  <si>
    <t>19-12</t>
  </si>
  <si>
    <t>FRB04</t>
  </si>
  <si>
    <t>19-13</t>
  </si>
  <si>
    <t>FRB05</t>
  </si>
  <si>
    <t>19-14</t>
  </si>
  <si>
    <t>FRB06</t>
  </si>
  <si>
    <t>19-15</t>
  </si>
  <si>
    <t>FRC11</t>
  </si>
  <si>
    <t>19-16</t>
  </si>
  <si>
    <t>FRC12</t>
  </si>
  <si>
    <t>19-17</t>
  </si>
  <si>
    <t>FRC13</t>
  </si>
  <si>
    <t>19-18</t>
  </si>
  <si>
    <t>FRC14</t>
  </si>
  <si>
    <t>19-19</t>
  </si>
  <si>
    <t>FRC21</t>
  </si>
  <si>
    <t>19-20</t>
  </si>
  <si>
    <t>FRC22</t>
  </si>
  <si>
    <t>19-21</t>
  </si>
  <si>
    <t>FRC23</t>
  </si>
  <si>
    <t>19-22</t>
  </si>
  <si>
    <t>FRC24</t>
  </si>
  <si>
    <t>19-23</t>
  </si>
  <si>
    <t>FRD11</t>
  </si>
  <si>
    <t>19-24</t>
  </si>
  <si>
    <t>FRD12</t>
  </si>
  <si>
    <t>19-25</t>
  </si>
  <si>
    <t>FRD13</t>
  </si>
  <si>
    <t>19-26</t>
  </si>
  <si>
    <t>FRD21</t>
  </si>
  <si>
    <t>19-27</t>
  </si>
  <si>
    <t>FRD22</t>
  </si>
  <si>
    <t>19-28</t>
  </si>
  <si>
    <t>FRE11</t>
  </si>
  <si>
    <t>19-29</t>
  </si>
  <si>
    <t>FRE12</t>
  </si>
  <si>
    <t>19-30</t>
  </si>
  <si>
    <t>FRE21</t>
  </si>
  <si>
    <t>19-31</t>
  </si>
  <si>
    <t>FRE22</t>
  </si>
  <si>
    <t>19-32</t>
  </si>
  <si>
    <t>FRE23</t>
  </si>
  <si>
    <t>19-33</t>
  </si>
  <si>
    <t>FRF11</t>
  </si>
  <si>
    <t>19-34</t>
  </si>
  <si>
    <t>FRF12</t>
  </si>
  <si>
    <t>19-35</t>
  </si>
  <si>
    <t>FRF21</t>
  </si>
  <si>
    <t>19-36</t>
  </si>
  <si>
    <t>FRF22</t>
  </si>
  <si>
    <t>19-37</t>
  </si>
  <si>
    <t>FRF23</t>
  </si>
  <si>
    <t>19-38</t>
  </si>
  <si>
    <t>FRF24</t>
  </si>
  <si>
    <t>19-39</t>
  </si>
  <si>
    <t>FRF31</t>
  </si>
  <si>
    <t>19-40</t>
  </si>
  <si>
    <t>FRF32</t>
  </si>
  <si>
    <t>19-41</t>
  </si>
  <si>
    <t>FRF33</t>
  </si>
  <si>
    <t>19-42</t>
  </si>
  <si>
    <t>FRF34</t>
  </si>
  <si>
    <t>19-43</t>
  </si>
  <si>
    <t>FRG01</t>
  </si>
  <si>
    <t>19-44</t>
  </si>
  <si>
    <t>FRG02</t>
  </si>
  <si>
    <t>19-45</t>
  </si>
  <si>
    <t>FRG03</t>
  </si>
  <si>
    <t>19-46</t>
  </si>
  <si>
    <t>FRG04</t>
  </si>
  <si>
    <t>19-47</t>
  </si>
  <si>
    <t>FRG05</t>
  </si>
  <si>
    <t>19-48</t>
  </si>
  <si>
    <t>FRH01</t>
  </si>
  <si>
    <t>19-49</t>
  </si>
  <si>
    <t>FRH02</t>
  </si>
  <si>
    <t>19-50</t>
  </si>
  <si>
    <t>FRH03</t>
  </si>
  <si>
    <t>19-51</t>
  </si>
  <si>
    <t>FRH04</t>
  </si>
  <si>
    <t>19-52</t>
  </si>
  <si>
    <t>FRI11</t>
  </si>
  <si>
    <t>19-53</t>
  </si>
  <si>
    <t>FRI12</t>
  </si>
  <si>
    <t>19-54</t>
  </si>
  <si>
    <t>FRI13</t>
  </si>
  <si>
    <t>19-55</t>
  </si>
  <si>
    <t>FRI14</t>
  </si>
  <si>
    <t>19-56</t>
  </si>
  <si>
    <t>FRI15</t>
  </si>
  <si>
    <t>19-57</t>
  </si>
  <si>
    <t>FRI21</t>
  </si>
  <si>
    <t>19-58</t>
  </si>
  <si>
    <t>FRI22</t>
  </si>
  <si>
    <t>19-59</t>
  </si>
  <si>
    <t>FRI23</t>
  </si>
  <si>
    <t>19-60</t>
  </si>
  <si>
    <t>FRI31</t>
  </si>
  <si>
    <t>19-61</t>
  </si>
  <si>
    <t>FRI32</t>
  </si>
  <si>
    <t>19-62</t>
  </si>
  <si>
    <t>FRI33</t>
  </si>
  <si>
    <t>19-63</t>
  </si>
  <si>
    <t>FRI34</t>
  </si>
  <si>
    <t>19-64</t>
  </si>
  <si>
    <t>FRJ11</t>
  </si>
  <si>
    <t>19-65</t>
  </si>
  <si>
    <t>FRJ12</t>
  </si>
  <si>
    <t>19-66</t>
  </si>
  <si>
    <t>FRJ13</t>
  </si>
  <si>
    <t>19-67</t>
  </si>
  <si>
    <t>FRJ14</t>
  </si>
  <si>
    <t>19-68</t>
  </si>
  <si>
    <t>FRJ15</t>
  </si>
  <si>
    <t>19-69</t>
  </si>
  <si>
    <t>FRJ21</t>
  </si>
  <si>
    <t>19-70</t>
  </si>
  <si>
    <t>FRJ22</t>
  </si>
  <si>
    <t>19-71</t>
  </si>
  <si>
    <t>FRJ23</t>
  </si>
  <si>
    <t>19-72</t>
  </si>
  <si>
    <t>FRJ24</t>
  </si>
  <si>
    <t>19-73</t>
  </si>
  <si>
    <t>FRJ25</t>
  </si>
  <si>
    <t>19-74</t>
  </si>
  <si>
    <t>FRJ26</t>
  </si>
  <si>
    <t>19-75</t>
  </si>
  <si>
    <t>FRJ27</t>
  </si>
  <si>
    <t>19-76</t>
  </si>
  <si>
    <t>FRJ28</t>
  </si>
  <si>
    <t>19-77</t>
  </si>
  <si>
    <t>FRK11</t>
  </si>
  <si>
    <t>19-78</t>
  </si>
  <si>
    <t>FRK12</t>
  </si>
  <si>
    <t>19-79</t>
  </si>
  <si>
    <t>FRK13</t>
  </si>
  <si>
    <t>19-80</t>
  </si>
  <si>
    <t>FRK14</t>
  </si>
  <si>
    <t>19-81</t>
  </si>
  <si>
    <t>FRK21</t>
  </si>
  <si>
    <t>19-82</t>
  </si>
  <si>
    <t>FRK22</t>
  </si>
  <si>
    <t>19-83</t>
  </si>
  <si>
    <t>FRK23</t>
  </si>
  <si>
    <t>19-84</t>
  </si>
  <si>
    <t>FRK24</t>
  </si>
  <si>
    <t>19-85</t>
  </si>
  <si>
    <t>FRK25</t>
  </si>
  <si>
    <t>19-86</t>
  </si>
  <si>
    <t>FRK26</t>
  </si>
  <si>
    <t>19-87</t>
  </si>
  <si>
    <t>FRK27</t>
  </si>
  <si>
    <t>19-88</t>
  </si>
  <si>
    <t>FRK28</t>
  </si>
  <si>
    <t>19-89</t>
  </si>
  <si>
    <t>FRL01</t>
  </si>
  <si>
    <t>19-90</t>
  </si>
  <si>
    <t>FRL02</t>
  </si>
  <si>
    <t>19-91</t>
  </si>
  <si>
    <t>FRL03</t>
  </si>
  <si>
    <t>19-92</t>
  </si>
  <si>
    <t>FRL04</t>
  </si>
  <si>
    <t>19-93</t>
  </si>
  <si>
    <t>FRL05</t>
  </si>
  <si>
    <t>19-94</t>
  </si>
  <si>
    <t>FRL06</t>
  </si>
  <si>
    <t>19-95</t>
  </si>
  <si>
    <t>FRM01</t>
  </si>
  <si>
    <t>19-96</t>
  </si>
  <si>
    <t>FRM02</t>
  </si>
  <si>
    <t>FRY10</t>
  </si>
  <si>
    <t>FRY20</t>
  </si>
  <si>
    <t>FRY30</t>
  </si>
  <si>
    <t>19-100</t>
  </si>
  <si>
    <t>FRY40</t>
  </si>
  <si>
    <t>19-101</t>
  </si>
  <si>
    <t>FRY50</t>
  </si>
  <si>
    <t>19-102</t>
  </si>
  <si>
    <t>FRZZZ</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</si>
  <si>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</si>
  <si>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</si>
  <si>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</si>
  <si>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</si>
  <si>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</si>
  <si>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</si>
  <si>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</si>
  <si>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</si>
  <si>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</si>
  <si>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</si>
  <si>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</si>
  <si>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</si>
  <si>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</si>
  <si>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</si>
  <si>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</si>
  <si>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</si>
  <si>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</si>
  <si>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</si>
  <si>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</si>
  <si>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</si>
  <si>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</si>
  <si>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</si>
  <si>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</si>
  <si>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</si>
  <si>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</si>
  <si>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</si>
  <si>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</si>
  <si>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</si>
  <si>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</si>
  <si>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</si>
  <si>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</si>
  <si>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</si>
  <si>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</si>
  <si>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</si>
  <si>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</si>
  <si>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</si>
  <si>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</si>
  <si>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</si>
  <si>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</si>
  <si>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</si>
  <si>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</si>
  <si>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</si>
  <si>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</si>
  <si>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</si>
  <si>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</si>
  <si>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</si>
  <si>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</si>
  <si>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</si>
  <si>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</si>
  <si>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</si>
  <si>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</si>
  <si>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</si>
  <si>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</si>
  <si>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</si>
  <si>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</si>
  <si>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</si>
  <si>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</si>
  <si>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</si>
  <si>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</si>
  <si>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</si>
  <si>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</si>
  <si>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</si>
  <si>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</si>
  <si>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</si>
  <si>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</si>
  <si>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</si>
  <si>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</si>
  <si>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</si>
  <si>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</si>
  <si>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</si>
  <si>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</si>
  <si>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</si>
  <si>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</si>
  <si>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</si>
  <si>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</si>
  <si>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</si>
  <si>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</si>
  <si>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</si>
  <si>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</si>
  <si>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</si>
  <si>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</si>
  <si>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</si>
  <si>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</si>
  <si>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</si>
  <si>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</si>
  <si>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</si>
  <si>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</si>
  <si>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20-100</t>
  </si>
  <si>
    <t>20-101</t>
  </si>
  <si>
    <t>20-102</t>
  </si>
  <si>
    <t>Weighted Average Current Loan to Value - Mortgage</t>
  </si>
  <si>
    <t>&lt;= 10 000</t>
  </si>
  <si>
    <t>&gt; 2 000 000</t>
  </si>
  <si>
    <t>&lt;= 12</t>
  </si>
  <si>
    <t>&gt; 240</t>
  </si>
  <si>
    <t>5. Breakdown by Original Term to Maturity</t>
  </si>
  <si>
    <t>&gt; 300</t>
  </si>
  <si>
    <t>6. Breakdown by Year of Origination</t>
  </si>
  <si>
    <t>&lt;= 1,00%</t>
  </si>
  <si>
    <t>&gt; 5,00%</t>
  </si>
  <si>
    <t>9. Breakdown by Guarantee Provider</t>
  </si>
  <si>
    <t>10. Breakdown by Current Loan-to-Value</t>
  </si>
  <si>
    <t>&gt; 100%</t>
  </si>
  <si>
    <t>12. Current Loan-to-Value (Mortgages)</t>
  </si>
  <si>
    <t>14. Breakdown by Loan Purpose</t>
  </si>
  <si>
    <t>15. Breakdown by Amortisation Type</t>
  </si>
  <si>
    <t>French - i.e. Amortisation in which the total amount — principal plus interest — repaid in each instalment is the same.</t>
  </si>
  <si>
    <t>German - i.e. Amortisation in which the first instalment is interest-only and the remaining instalments are constant, including capital amortisation and interest.</t>
  </si>
  <si>
    <t>Fixed amortisation schedule - i.e. Amortisation in which the principal amount repaid in each instalment is the same.</t>
  </si>
  <si>
    <t>Bullet - i.e. Amortisation in which the full principal amount is repaid in the last instalment.</t>
  </si>
  <si>
    <t>16. Breakdown by Payment Frequency</t>
  </si>
  <si>
    <t>17. Breakdown by Employment Type</t>
  </si>
  <si>
    <t>Not Available</t>
  </si>
  <si>
    <t>Paris</t>
  </si>
  <si>
    <t>Seine-et-Marne</t>
  </si>
  <si>
    <t>Yvelines</t>
  </si>
  <si>
    <t>Essonne</t>
  </si>
  <si>
    <t>Hauts-de-Seine</t>
  </si>
  <si>
    <t>Seine-Saint-Denis</t>
  </si>
  <si>
    <t>Val-de-Marne</t>
  </si>
  <si>
    <t>Val-d'Oise</t>
  </si>
  <si>
    <t>Cher</t>
  </si>
  <si>
    <t>Eure-et-Loir</t>
  </si>
  <si>
    <t>Indre</t>
  </si>
  <si>
    <t>Indre-et-Loire</t>
  </si>
  <si>
    <t>Loir-et-Cher</t>
  </si>
  <si>
    <t>Loiret</t>
  </si>
  <si>
    <t>Côte-d'Or</t>
  </si>
  <si>
    <t>Nièvre</t>
  </si>
  <si>
    <t>Saône-et-Loire</t>
  </si>
  <si>
    <t>Yonne</t>
  </si>
  <si>
    <t>Doubs</t>
  </si>
  <si>
    <t>Jura</t>
  </si>
  <si>
    <t>Haute-Saône</t>
  </si>
  <si>
    <t>TerritoiredeBelfort</t>
  </si>
  <si>
    <t>Calvados</t>
  </si>
  <si>
    <t>Manche</t>
  </si>
  <si>
    <t>Orne</t>
  </si>
  <si>
    <t>Eure</t>
  </si>
  <si>
    <t>Seine-Maritime</t>
  </si>
  <si>
    <t>Nord</t>
  </si>
  <si>
    <t>Pas-de-Calais</t>
  </si>
  <si>
    <t>Aisne</t>
  </si>
  <si>
    <t>Oise</t>
  </si>
  <si>
    <t>Somme</t>
  </si>
  <si>
    <t>Bas-Rhin</t>
  </si>
  <si>
    <t>Haut-Rhin</t>
  </si>
  <si>
    <t>Ardennes</t>
  </si>
  <si>
    <t>Aube</t>
  </si>
  <si>
    <t>Marne</t>
  </si>
  <si>
    <t>Haute-Marne</t>
  </si>
  <si>
    <t>Meurthe-et-Moselle</t>
  </si>
  <si>
    <t>Meuse</t>
  </si>
  <si>
    <t>Moselle</t>
  </si>
  <si>
    <t>Vosges</t>
  </si>
  <si>
    <t>Loire-Atlantique</t>
  </si>
  <si>
    <t>Maine-et-Loire</t>
  </si>
  <si>
    <t>Mayenne</t>
  </si>
  <si>
    <t>Sarthe</t>
  </si>
  <si>
    <t>Vendée</t>
  </si>
  <si>
    <t>Côtes-d'Armor</t>
  </si>
  <si>
    <t>Finistère</t>
  </si>
  <si>
    <t>Ille-et-Vilaine</t>
  </si>
  <si>
    <t>Morbihan</t>
  </si>
  <si>
    <t>Dordogne</t>
  </si>
  <si>
    <t>Gironde</t>
  </si>
  <si>
    <t>Landes</t>
  </si>
  <si>
    <t>Lot-et-Garonne</t>
  </si>
  <si>
    <t>Pyrénées-Atlantiques</t>
  </si>
  <si>
    <t>Corrèze</t>
  </si>
  <si>
    <t>Creuse</t>
  </si>
  <si>
    <t>Haute-Vienne</t>
  </si>
  <si>
    <t>Charente</t>
  </si>
  <si>
    <t>Charente-Maritime</t>
  </si>
  <si>
    <t>Deux-Sèvres</t>
  </si>
  <si>
    <t>Vienne</t>
  </si>
  <si>
    <t>Aude</t>
  </si>
  <si>
    <t>Gard</t>
  </si>
  <si>
    <t>Hérault</t>
  </si>
  <si>
    <t>Lozère</t>
  </si>
  <si>
    <t>Pyrénées-Orientales</t>
  </si>
  <si>
    <t>Ariège</t>
  </si>
  <si>
    <t>Aveyron</t>
  </si>
  <si>
    <t>Haute-Garonne</t>
  </si>
  <si>
    <t>Gers</t>
  </si>
  <si>
    <t>Lot</t>
  </si>
  <si>
    <t>Hautes-Pyrénées</t>
  </si>
  <si>
    <t>Tarn</t>
  </si>
  <si>
    <t>Tarn-et-Garonne</t>
  </si>
  <si>
    <t>Allier</t>
  </si>
  <si>
    <t>Cantal</t>
  </si>
  <si>
    <t>Haute-Loire</t>
  </si>
  <si>
    <t>Puy-de-Dôme</t>
  </si>
  <si>
    <t>Ain</t>
  </si>
  <si>
    <t>Ardèche</t>
  </si>
  <si>
    <t>Drôme</t>
  </si>
  <si>
    <t>Isère</t>
  </si>
  <si>
    <t>Loire</t>
  </si>
  <si>
    <t>Rhône</t>
  </si>
  <si>
    <t>Savoie</t>
  </si>
  <si>
    <t>Haute-Savoie</t>
  </si>
  <si>
    <t>Alpes-de-Haute-Provence</t>
  </si>
  <si>
    <t>Hautes-Alpes</t>
  </si>
  <si>
    <t>Alpes-Maritimes</t>
  </si>
  <si>
    <t>Bouches-du-Rhône</t>
  </si>
  <si>
    <t>Var</t>
  </si>
  <si>
    <t>Vaucluse</t>
  </si>
  <si>
    <t>Corse-du-Sud</t>
  </si>
  <si>
    <t>Haute-Corse</t>
  </si>
  <si>
    <t>Guadeloupe</t>
  </si>
  <si>
    <t>Martinique</t>
  </si>
  <si>
    <t>Guyane</t>
  </si>
  <si>
    <t>LaRéunion</t>
  </si>
  <si>
    <t>Mayotte</t>
  </si>
  <si>
    <t>19. Breakdown by Property Department</t>
  </si>
  <si>
    <t>20. Breakdown by Property Department (Mortgages)</t>
  </si>
  <si>
    <t>Principal Original Balance</t>
  </si>
  <si>
    <t>7. Breakdown by Interest Rate</t>
  </si>
  <si>
    <t>8. Breakdown by Interest Rate Type</t>
  </si>
  <si>
    <t>11. Breakdown by Original Loan-to-Value</t>
  </si>
  <si>
    <t>13.  Breakdown by Original Loan-to-Value (Mortgages)</t>
  </si>
  <si>
    <t>18. Top 20 Borrowers</t>
  </si>
  <si>
    <t>LEI</t>
  </si>
  <si>
    <t>969500Z05GRNU3KPEY94</t>
  </si>
  <si>
    <t>00 - Cover</t>
  </si>
  <si>
    <t>01 - Summary</t>
  </si>
  <si>
    <t>02 - Eligibility Criteria</t>
  </si>
  <si>
    <t>03 - Monthly Asset Follow up</t>
  </si>
  <si>
    <t>05 - Prepayment Rate</t>
  </si>
  <si>
    <t>06 - Asset Amortisation Profile</t>
  </si>
  <si>
    <t>16 - Simplified Balance Sheet</t>
  </si>
  <si>
    <t>17 - Calendar</t>
  </si>
  <si>
    <t>18 - Event</t>
  </si>
  <si>
    <t>Interest rate</t>
  </si>
  <si>
    <t>Junior</t>
  </si>
  <si>
    <t>Rating</t>
  </si>
  <si>
    <t>Not rated</t>
  </si>
  <si>
    <t>In Euros</t>
  </si>
  <si>
    <t>(i) on the Issue Date, the Class A Notes Issue Proceeds, the Class B Notes Issue Proceeds and the proceeds of the issue of the Residual Units;</t>
  </si>
  <si>
    <t>(ii) on each Collection Payment Date, any Collection amount debited from the Servicer Collection Account provided that, prior to such debit, the Collection amount standing to the credit of the Servicer Collection Account was greater than €100,000.00;</t>
  </si>
  <si>
    <t>(iii) on each Collection Payment Date, any Available Principal Collections and Corrected Available Principal Collections paid by the Seller which is not referred in paragraph (ii);</t>
  </si>
  <si>
    <t>(iv) on each Collection Payment Date, any Deemed Collections;</t>
  </si>
  <si>
    <t>(v) on [the Collection Payment Date following each Re-assignment Date, any Re-assignment Price and any Rescission Amount paid by the Seller;</t>
  </si>
  <si>
    <t>(vi) on each Settlement Date preceding a Payment Date, the amounts standing to the credit of the Reserve Account; and</t>
  </si>
  <si>
    <t xml:space="preserve">(vii) on the Issuer Liquidation Date, the proceeds resulting from the sale of the then outstanding Purchased Home Loans; </t>
  </si>
  <si>
    <t>(i) on the Purchase Date, with the Purchase Price due to the Seller;</t>
  </si>
  <si>
    <t>(ii) on each Collection Payment Date, any Corrected Available Principal Collections paid to the Seller;</t>
  </si>
  <si>
    <t xml:space="preserve">(iii) on the Collection Payment Date following a Re-assignment Date, with any Re-assignment Price Refund or any Rescission Amount Refund paid and related to any re-assignment or rescission of Home Loans on such Re-assignment Date; </t>
  </si>
  <si>
    <t>(iv) on each Settlement Date, with:
(A) firstly, an amount equal to the Available Principal Collections to be credited to the Principal Account; and</t>
  </si>
  <si>
    <t>(iv) on each Settlement Date, with:
(B) secondly, the remaining amount standing to credit of the General Account, after debit of the Available Principal Collections, to be credited to the Interest Account.</t>
  </si>
  <si>
    <t>on each Settlement Date, with:
(i) the Available Principal Collections debited from the General Account</t>
  </si>
  <si>
    <t>on each Settlement Date, with:
(ii) any Interest Reallocated Amount</t>
  </si>
  <si>
    <t>on each Settlement Date, with:
(i) an amount equal to:
                (A) the amount standing to the credit of the General Account; minus 
                (B) the Available Principal Collections</t>
  </si>
  <si>
    <t>(ii) any Principal Reallocated Amount</t>
  </si>
  <si>
    <t xml:space="preserve">(i) by the Reserve Provider, on the Issue Date, with an amount equal to the Reserve Fund Required Amount on that date; </t>
  </si>
  <si>
    <t xml:space="preserve">(ii) by the Management Company, prior to the Accelerated Redemption Period, by way of debit from the Interest Account, on each Payment Date, subject to, and in accordance with the applicable Priority of Payments, with an amount equal to the positive difference between the applicable Reserve Fund Required Amount and the then current credit balance of the Reserve Account; </t>
  </si>
  <si>
    <t>(i) on each Settlement Date preceding a Payment Date by the transfer of the amount standing to its credit to the General Account;</t>
  </si>
  <si>
    <t>(ii) on the Liquidation Date by the transfer of all monies standing to its credit to the Reserve Provider</t>
  </si>
  <si>
    <t>means the tenth (10th) Business Day following each calendar month, subject to the Business Day Convention.</t>
  </si>
  <si>
    <t>means, in respect of a Collection Period, the fourteenth (14th) Business Day following a Collection Period End Date, subject to the Business Day Convention.</t>
  </si>
  <si>
    <t xml:space="preserve">means the Settlement Date with respect to the immediately preceding Collection Period.
</t>
  </si>
  <si>
    <t>means the Payment Date falling on 25 October 2051 years after the first Payment Date, or, if such day is not a Business Day, on the next succeeding Business Day.</t>
  </si>
  <si>
    <t>means the Payment Date occurring in April 2027.</t>
  </si>
  <si>
    <t>means, with respect to payments of principal and/or interest on the Notes:
(a) during the Normal Redemption Period, any Payment Date; and
(b) during the Accelerated Redemption Period, any Accelerated Payment Date.</t>
  </si>
  <si>
    <t>means 31 October 2023, being the date on which any relevant Home Loan shall be selected for an assignment to the Issuer.</t>
  </si>
  <si>
    <t>means 8 December 2023, on which the Class A Notes, the Class B Notes and the Residual Units shall be issued by the Issuer.</t>
  </si>
  <si>
    <t>means the date on which the Issuer shall be liquidated and which shall be the earlier of:
(a) the Final Legal Maturity Date;
(b) the Payment Date on which all the Notes will have been redeemed in full and/or the aggregate Outstanding Balances of all Purchased Home Loans is reduced to zero (0); and
(c) following the occurrence of an Issuer Liquidation Event, the Payment Date as described in clause 6.4 (Re-assignment upon Issuer Liquidation Event) of the Receivables Purchase Agreement if the Management Company is able to sell all the Purchased Home Loans then held by the Issuer (i) to the Seller for an aggregate price and any indemnity payment paid by the Seller to the Issuer corresponding to any other costs related to the liquidation of the Issuer or (ii) failing which, any credit institution qualified to acquire the Purchased Home Loans for a purchase price, which, in each case, together with the then available cash of the Issuer, enables the Issuer to repay in full all amounts outstanding in respect of the Class A Notes, together with the interest, in accordance with the applicable Priority of Payments.</t>
  </si>
  <si>
    <t>04 - Monthly Collection</t>
  </si>
  <si>
    <t>07 - Breakdown Statistics</t>
  </si>
  <si>
    <t>08 - Delinquent Home Loans Stat</t>
  </si>
  <si>
    <t>09 - Default &amp; Recovery Stat</t>
  </si>
  <si>
    <t>10 -Principal Deficiency Ledger</t>
  </si>
  <si>
    <t>11 - Notes Follow-up</t>
  </si>
  <si>
    <t>12 - Notes Interest</t>
  </si>
  <si>
    <t>13 - Issuer Account</t>
  </si>
  <si>
    <t>14 - Fees</t>
  </si>
  <si>
    <t>15 - Priority of Payments</t>
  </si>
  <si>
    <t>Storing the decryption key fees</t>
  </si>
  <si>
    <t>At the closing date</t>
  </si>
  <si>
    <t>Each year</t>
  </si>
  <si>
    <t>Set-up commission</t>
  </si>
  <si>
    <t>ESMA Report per declaration</t>
  </si>
  <si>
    <t>Fitch/S&amp;P</t>
  </si>
  <si>
    <t>Euro ABS</t>
  </si>
  <si>
    <t>EURO ABS</t>
  </si>
  <si>
    <t>Securitisation Regulation Secure Hosting</t>
  </si>
  <si>
    <t>Loan Level Data Preparation</t>
  </si>
  <si>
    <t>Fees calculation period</t>
  </si>
  <si>
    <t>AAA (sf) S&amp;P</t>
  </si>
  <si>
    <t>AAA (sf) Fitch</t>
  </si>
  <si>
    <t>N/A</t>
  </si>
  <si>
    <t>Available Principal Collections on such Collection Period</t>
  </si>
  <si>
    <t>Interest Reallocated Amounts</t>
  </si>
  <si>
    <t>The Scheduled Principal Payments of the Performing Purchased Home Loans and the Scheduled Principal Payments of the Delinquent Home Loans, received during the immediately preceding Collection Period;</t>
  </si>
  <si>
    <t>The Principal Prepayments on the Performing Purchased Home Loans and the Principal Prepayments on the Delinquent Home Loans, received during such Collection Period;</t>
  </si>
  <si>
    <t>The amount standing to the credit of the General Account</t>
  </si>
  <si>
    <t>Principal Reallocated Amount</t>
  </si>
  <si>
    <t>Financial Income</t>
  </si>
  <si>
    <t xml:space="preserve">(a) Fixed amount </t>
  </si>
  <si>
    <t>(c) Percentage</t>
  </si>
  <si>
    <t>Reserve Fund Required Amount</t>
  </si>
  <si>
    <t>Redemption by Notes</t>
  </si>
  <si>
    <t>The Available Principal Collections</t>
  </si>
  <si>
    <t>All amounts paid, during such Collection Period, by any insurer or Home Loan Guarantor under any Insurance Contracts and Home Loan Guarantee Agreement (other than amounts comprised in the Scheduled Principal Payments);</t>
  </si>
  <si>
    <t>Plus or minus, as the case may be, any Corrected Available Principal Collections.</t>
  </si>
  <si>
    <t>L.E.I registration fee</t>
  </si>
  <si>
    <t>Each year (on May)</t>
  </si>
  <si>
    <t>Debt (reserve)</t>
  </si>
  <si>
    <t>(1) the Class A Notes Outstanding Amount as of the preceding Calculation Date</t>
  </si>
  <si>
    <t xml:space="preserve">(b) Notes Outstanding Amount </t>
  </si>
  <si>
    <t>Reserve Fund Required Amount =&gt;  min((1);max((a); (b)*(c))</t>
  </si>
  <si>
    <t>(2) max((a); (b)*(c))</t>
  </si>
  <si>
    <t>Floating fee of: (ii) 0.002% per annum of the aggregate Purchased Home Loans for the portion exceeding €250,000,000</t>
  </si>
  <si>
    <t>Floating fee of: (i) 0.004% per annum of the aggregate Purchased Home Loans for the portion comprising between €0 and €250,000,000</t>
  </si>
  <si>
    <t>Per day (per events)</t>
  </si>
  <si>
    <t>Per event</t>
  </si>
  <si>
    <t>€10 transaction costs for each purchase, sale or transfer of French equities, bonds and negotiable debt securities, (B) €15 transaction costs for French units of collective investment schemes or (C) €15 transaction costs for securities from Germany, Austria, Belgium, Denmark, Spain, Finland, Ireland, Italy, Luxembourg, Norway, the Netherlands, Portugal, the United Kingdom, Sweden, and Switzerland and USA.</t>
  </si>
  <si>
    <t>Each Settlement Date after a test</t>
  </si>
  <si>
    <t>A test of the encrypted file fee of €1,000 per test.</t>
  </si>
  <si>
    <t>Conventional Mortgage</t>
  </si>
  <si>
    <t>In the case of replacement of any party to the Transaction;</t>
  </si>
  <si>
    <t>Daily in the case of any amendment to the Transaction Documents</t>
  </si>
  <si>
    <t>In the case of any transfer to a public compartment;</t>
  </si>
  <si>
    <t>In the case of any amendment to any Priority of Payments</t>
  </si>
  <si>
    <t>Liquidation fee of €15,000 if the liquidation of the Issuer occurs during the first year after the Issue Date, €10,000 if the liquidation occurs during the second year after the Issue Date and €5,000 if the liquidation occurs during the third year after the Issue Date.</t>
  </si>
  <si>
    <t>Custody fees: annual fees for French securities: (A) for equities, bonds and negotiable debt securities, 0.01% and (B) for units of collective investment schemes, 0.005% in Euroclear (with a minimum of €10.00 per month), and 0.02% for other European securities and US securities; and</t>
  </si>
  <si>
    <t>An administration fee of 0.2% per annum (no VAT applicable) applied to the Outstanding Balance of each Purchased Home Loan for which (A) the Borrower is not subject to an over- indebtedness commission (commission de surendettement des particuliers) and (B) (i) the Home Loan is payable quarterly and no more than one instalment is unpaid, or (ii) the Home Loan is payable quarterly and no instalment is unpaid</t>
  </si>
  <si>
    <t>A recovery fee of 0.2% per annum (VAT applicable) applied to the Outstanding Balance of each Purchased Home Loan for which (A) the Borrower is subject to an over-indebtedness commission (commission de surendettement des particuliers), or (B) (i) the Home Loan is payable quarterly and more than one instalment is unpaid, or (ii) the Home Loan is payable quarterly and at least one instalment is unpaid,</t>
  </si>
  <si>
    <t>Fitch &amp; Standard and Poors</t>
  </si>
  <si>
    <t>Account Bank fees</t>
  </si>
  <si>
    <t>an annual flat fee</t>
  </si>
  <si>
    <t>Paying Agent fees</t>
  </si>
  <si>
    <t>Registrar fees</t>
  </si>
  <si>
    <t>with respect to Class A Notes, (i) per payment per ISIN code, a fee of €350</t>
  </si>
  <si>
    <t>(ii) for each event (payment of coupon and payment of principal), a fee of €250;</t>
  </si>
  <si>
    <t>with respect to Class B Notes, (i) per payment per ISIN code, a fee of €350</t>
  </si>
  <si>
    <t>(ii) for each event (payment of coupon and payment of principal), a fee of €250.</t>
  </si>
  <si>
    <t xml:space="preserve">in the case of special work by SecRep B.V., </t>
  </si>
  <si>
    <t>EuroNext</t>
  </si>
  <si>
    <t>for listing of the Class A Notes on Euronext Growth Paris</t>
  </si>
  <si>
    <t>P/L</t>
  </si>
  <si>
    <t>Financial income  Reserve account</t>
  </si>
  <si>
    <t>(iii) the Financial Income</t>
  </si>
  <si>
    <t>Financial income</t>
  </si>
  <si>
    <t>units</t>
  </si>
  <si>
    <t>Nb of Borrowers</t>
  </si>
  <si>
    <t>the Home Loan is payable quarterly and no more than one instalment is unpaid</t>
  </si>
  <si>
    <t>the Home Loan is payable quarterly and no instalment is unpaid</t>
  </si>
  <si>
    <t>the Borrower is subject to an over-indebtedness commission (commission de surendettement des particuliers)</t>
  </si>
  <si>
    <t>the Home Loan is payable quarterly and more than one instalment is unpaid</t>
  </si>
  <si>
    <t>the Home Loan is payable quarterly and at least one instalment is unpaid</t>
  </si>
  <si>
    <t>the Home Loan is payable quarterly and no more than one instalment is unpaid and the Borrower is not subject to an over-indebtedness commission</t>
  </si>
  <si>
    <t>the Home Loan is payable quarterly and no instalment is unpaid and the Borrower is not subject to an over-indebtedness commission</t>
  </si>
  <si>
    <t>Financial income General account</t>
  </si>
  <si>
    <t>FCT French Prime Cash 2023</t>
  </si>
  <si>
    <t>Dimitri BELLAICHE</t>
  </si>
  <si>
    <t>+33 1 86 65 64 30</t>
  </si>
  <si>
    <t>Dimitri Bellaiche</t>
  </si>
  <si>
    <t>FR87 4132 9000 0100 0047 9328 U51</t>
  </si>
  <si>
    <t>PARBFRPP</t>
  </si>
  <si>
    <t>BNP PARIBAS</t>
  </si>
  <si>
    <t>FCT French prime cash 2023 COMPTE GENERAL</t>
  </si>
  <si>
    <t>FR04 4132 9000 0100 0047 9325 K50</t>
  </si>
  <si>
    <t>92 AVENUE DE WAGRAM
75017 PARIS</t>
  </si>
  <si>
    <t>Transfert General to Principal</t>
  </si>
  <si>
    <t>Transfert Financial Income Reserve to General</t>
  </si>
  <si>
    <t>FCT French prime cash 2023 COMPTE PRINCIPAL</t>
  </si>
  <si>
    <t>FR71 4132 9000 0100 0047 9327 R66</t>
  </si>
  <si>
    <t>FR86 4132 9000 0100 0047 9326 M14</t>
  </si>
  <si>
    <t>FCT French prime cash 2023 COMPTE INTERETS</t>
  </si>
  <si>
    <t>Transfert General to Compte interets</t>
  </si>
  <si>
    <t xml:space="preserve">Class A Notes Interest </t>
  </si>
  <si>
    <t>FR9441329000010000047475N27</t>
  </si>
  <si>
    <t>PARBLULLXXX</t>
  </si>
  <si>
    <t>BNP PARIBAS PARIS BRANCH</t>
  </si>
  <si>
    <t>BNP PARIBAS SA</t>
  </si>
  <si>
    <t xml:space="preserve">IQ-EQ Management </t>
  </si>
  <si>
    <t>HSBC</t>
  </si>
  <si>
    <t>CCFRFRPPXXX</t>
  </si>
  <si>
    <t>FR76 3005 6000 5000 5000 7046 525</t>
  </si>
  <si>
    <t>BNP PARIBAS Securities services L-2085 Luxembourg</t>
  </si>
  <si>
    <t xml:space="preserve">Fees - Management Company </t>
  </si>
  <si>
    <t>Fees - Custodian</t>
  </si>
  <si>
    <t xml:space="preserve">Fees - FCT Account Bank </t>
  </si>
  <si>
    <t>Fees - FCT Paying Agent Fees</t>
  </si>
  <si>
    <t>Fees - Data Protection Agent</t>
  </si>
  <si>
    <t>Redemption Class A</t>
  </si>
  <si>
    <t>Interest to the Residual Unitholders</t>
  </si>
  <si>
    <t>Fees - Servicer</t>
  </si>
  <si>
    <t>SHA</t>
  </si>
  <si>
    <t>Non</t>
  </si>
  <si>
    <t>FRANCE FR</t>
  </si>
  <si>
    <t>75017</t>
  </si>
  <si>
    <t>92 AVENUE DE WAGRAM</t>
  </si>
  <si>
    <t>EQUITIS GESTION SAS</t>
  </si>
  <si>
    <t xml:space="preserve">41329000010000471015H              </t>
  </si>
  <si>
    <t>PARBFR</t>
  </si>
  <si>
    <t>Region/Pays</t>
  </si>
  <si>
    <t>Ville</t>
  </si>
  <si>
    <t>CP</t>
  </si>
  <si>
    <t>Adresse Donneur d'Ordre</t>
  </si>
  <si>
    <t>Donneur d'ordre</t>
  </si>
  <si>
    <t>Numéro de compte</t>
  </si>
  <si>
    <t>Devise</t>
  </si>
  <si>
    <t>IBAN</t>
  </si>
  <si>
    <t>CODE BIC</t>
  </si>
  <si>
    <t>Type de transaction</t>
  </si>
  <si>
    <t>FCT</t>
  </si>
  <si>
    <t>Motif Paiement</t>
  </si>
  <si>
    <t>CP/Ville</t>
  </si>
  <si>
    <t>Code BIC banque bene.</t>
  </si>
  <si>
    <t>Compte beneficiaire</t>
  </si>
  <si>
    <t>Code BIC banque Donneur d'Ordre</t>
  </si>
  <si>
    <t>Compte Donneur d'Ordre</t>
  </si>
  <si>
    <t>Donneur D'ordre</t>
  </si>
  <si>
    <t>Date saisie</t>
  </si>
  <si>
    <t>Libelle de compte</t>
  </si>
  <si>
    <t>M</t>
  </si>
  <si>
    <t>N° de compte</t>
  </si>
  <si>
    <t>Banque beneficiaire</t>
  </si>
  <si>
    <t>Beneficiaire</t>
  </si>
  <si>
    <t>Reference client</t>
  </si>
  <si>
    <t>Montant</t>
  </si>
  <si>
    <t>Date de Valeur</t>
  </si>
  <si>
    <t>Banque</t>
  </si>
  <si>
    <t>Instructions espèces</t>
  </si>
  <si>
    <t>Nom de compte</t>
  </si>
  <si>
    <t>FCH PRIME CASH 23 GEN AC</t>
  </si>
  <si>
    <t>FCH PRIME CASH 23 INT AC</t>
  </si>
  <si>
    <t>FCH PRIME CASH 23 PP ACC</t>
  </si>
  <si>
    <t>FCH PRIME CASH 23 RES AC</t>
  </si>
  <si>
    <t>41329000010000479325K</t>
  </si>
  <si>
    <t>41329000010000479326M</t>
  </si>
  <si>
    <t>41329000010000479327R</t>
  </si>
  <si>
    <t>41329000010000479328U</t>
  </si>
  <si>
    <t>PRIVFRPPXXX</t>
  </si>
  <si>
    <t>RFREURPRIVFRPPXXX</t>
  </si>
  <si>
    <t>BANQUE DE France MILLEIS</t>
  </si>
  <si>
    <t>IQEQ MANAGEMENT</t>
  </si>
  <si>
    <t>FR77 4132 9000 0100 0008 4086 X22</t>
  </si>
  <si>
    <t>FR14 4132 9000 0100 0008 4182 E58</t>
  </si>
  <si>
    <t>FONDS A RECEVOIR BP2S</t>
  </si>
  <si>
    <t>Transfert Financial Reserve to General</t>
  </si>
  <si>
    <t>Transfert requiered reserved amount</t>
  </si>
  <si>
    <t>Reserve Account 479328U</t>
  </si>
  <si>
    <t>Interest Account 479326M</t>
  </si>
  <si>
    <t>Principal Account 479327R</t>
  </si>
  <si>
    <t>General Account 479325K</t>
  </si>
  <si>
    <t>FCT Hugo Créances I / Compte général</t>
  </si>
  <si>
    <t>FR59 4132 9000 0100 0047 1015 H42</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</si>
  <si>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</si>
  <si>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</si>
  <si>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</si>
  <si>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</si>
  <si>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</si>
  <si>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</si>
  <si>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</si>
  <si>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</si>
  <si>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</si>
  <si>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</si>
  <si>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</si>
  <si>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</si>
  <si>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</si>
  <si>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</si>
  <si>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</si>
  <si>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</si>
  <si>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</si>
  <si>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</si>
  <si>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</si>
  <si>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</si>
  <si>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</si>
  <si>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</si>
  <si>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</si>
  <si>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</si>
  <si>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</si>
  <si>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</si>
  <si>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</si>
  <si>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</si>
  <si>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</si>
  <si>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</si>
  <si>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</si>
  <si>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</si>
  <si>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</si>
  <si>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</si>
  <si>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</si>
  <si>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</si>
  <si>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</si>
  <si>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</si>
  <si>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</si>
  <si>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</si>
  <si>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</si>
  <si>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</si>
  <si>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</si>
  <si>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</si>
  <si>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</si>
  <si>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</si>
  <si>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</si>
  <si>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</si>
  <si>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</si>
  <si>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</si>
  <si>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</si>
  <si>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</si>
  <si>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</si>
  <si>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</si>
  <si>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</si>
  <si>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</si>
  <si>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</si>
  <si>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</si>
  <si>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</si>
  <si>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</si>
  <si>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</si>
  <si>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</si>
  <si>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</si>
  <si>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</si>
  <si>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</si>
  <si>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</si>
  <si>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</si>
  <si>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</si>
  <si>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</si>
  <si>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</si>
  <si>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</si>
  <si>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</si>
  <si>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</si>
  <si>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</si>
  <si>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</si>
  <si>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</si>
  <si>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</si>
  <si>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</si>
  <si>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</si>
  <si>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</si>
  <si>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</si>
  <si>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</si>
  <si>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</si>
  <si>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</si>
  <si>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</si>
  <si>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</si>
  <si>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</si>
  <si>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</si>
  <si>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</si>
  <si>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</si>
  <si>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</si>
  <si>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</si>
  <si>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</si>
  <si>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</si>
  <si>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</si>
  <si>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</si>
  <si>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</si>
  <si>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</si>
  <si>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</si>
  <si>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</si>
  <si>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</si>
  <si>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</si>
  <si>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</si>
  <si>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</si>
  <si>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</si>
  <si>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</si>
  <si>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</si>
  <si>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</si>
  <si>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</si>
  <si>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</si>
  <si>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</si>
  <si>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</si>
  <si>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</si>
  <si>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</si>
  <si>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</si>
  <si>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</si>
  <si>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</si>
  <si>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</si>
  <si>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</si>
  <si>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</si>
  <si>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</si>
  <si>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</si>
  <si>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</si>
  <si>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</si>
  <si>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</si>
  <si>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</si>
  <si>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</si>
  <si>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</si>
  <si>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</si>
  <si>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</si>
  <si>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</si>
  <si>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</si>
  <si>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</si>
  <si>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</si>
  <si>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</si>
  <si>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</si>
  <si>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</si>
  <si>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</si>
  <si>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</si>
  <si>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</si>
  <si>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</si>
  <si>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</si>
  <si>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</si>
  <si>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</si>
  <si>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</si>
  <si>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</si>
  <si>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</si>
  <si>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</si>
  <si>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</si>
  <si>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</si>
  <si>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</si>
  <si>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</si>
  <si>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</si>
  <si>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</si>
  <si>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</si>
  <si>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</si>
  <si>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</si>
  <si>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</si>
  <si>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</si>
  <si>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</si>
  <si>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</si>
  <si>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</si>
  <si>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</si>
  <si>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</si>
  <si>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</si>
  <si>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</si>
  <si>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</si>
  <si>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</si>
  <si>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</si>
  <si>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</si>
  <si>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</si>
  <si>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</si>
  <si>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</si>
  <si>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</si>
  <si>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</si>
  <si>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</si>
  <si>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</si>
  <si>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</si>
  <si>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</si>
  <si>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</si>
  <si>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</si>
  <si>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</si>
  <si>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</si>
  <si>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</si>
  <si>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</si>
  <si>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</si>
  <si>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</si>
  <si>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</si>
  <si>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</si>
  <si>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</si>
  <si>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</si>
  <si>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</si>
  <si>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</si>
  <si>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</si>
  <si>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</si>
  <si>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</si>
  <si>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</si>
  <si>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</si>
  <si>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</si>
  <si>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</si>
  <si>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</si>
  <si>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</si>
  <si>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</si>
  <si>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</si>
  <si>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</si>
  <si>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</si>
  <si>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</si>
  <si>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</si>
  <si>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</si>
  <si>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</si>
  <si>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</si>
  <si>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</si>
  <si>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</si>
  <si>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</si>
  <si>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</si>
  <si>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</si>
  <si>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</si>
  <si>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</si>
  <si>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</si>
  <si>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</si>
  <si>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</si>
  <si>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</si>
  <si>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</si>
  <si>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</si>
  <si>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</si>
  <si>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</si>
  <si>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</si>
  <si>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</si>
  <si>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</si>
  <si>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</si>
  <si>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</si>
  <si>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</si>
  <si>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</si>
  <si>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</si>
  <si>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</si>
  <si>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</si>
  <si>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</si>
  <si>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</si>
  <si>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</si>
  <si>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</si>
  <si>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</si>
  <si>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</si>
  <si>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</si>
  <si>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</si>
  <si>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</si>
  <si>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</si>
  <si>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</si>
  <si>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</si>
  <si>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</si>
  <si>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</si>
  <si>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</si>
  <si>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</si>
  <si>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</si>
  <si>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</si>
  <si>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</si>
  <si>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</si>
  <si>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</si>
  <si>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</si>
  <si>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</si>
  <si>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</si>
  <si>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</si>
  <si>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</si>
  <si>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</si>
  <si>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</si>
  <si>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</si>
  <si>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</si>
  <si>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</si>
  <si>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</si>
  <si>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</si>
  <si>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</si>
  <si>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</si>
  <si>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</si>
  <si>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</si>
  <si>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</si>
  <si>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</si>
  <si>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</si>
  <si>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</si>
  <si>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</si>
  <si>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</si>
  <si>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</si>
  <si>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</si>
  <si>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</si>
  <si>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</si>
  <si>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</si>
  <si>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</si>
  <si>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</si>
  <si>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</si>
  <si>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</si>
  <si>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</si>
  <si>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</si>
  <si>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</si>
  <si>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</si>
  <si>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</si>
  <si>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</si>
  <si>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</si>
  <si>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</si>
  <si>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</si>
  <si>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</si>
  <si>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Currency</t>
  </si>
  <si>
    <t>The currency denomination of this instrument.</t>
  </si>
  <si>
    <t>SEST8</t>
  </si>
  <si>
    <t>Original Principal Balance</t>
  </si>
  <si>
    <t>The Original Principal Balance of this tranche at issuance
Include the currency in which the amount is denominated, using {CURRENCYCODE_3} format.</t>
  </si>
  <si>
    <t>SEST9</t>
  </si>
  <si>
    <t>Current Principal Balance</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</si>
  <si>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</si>
  <si>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</si>
  <si>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</si>
  <si>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</si>
  <si>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</si>
  <si>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</si>
  <si>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</si>
  <si>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</si>
  <si>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</si>
  <si>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</si>
  <si>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</si>
  <si>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</si>
  <si>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</si>
  <si>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</si>
  <si>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</si>
  <si>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</si>
  <si>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</si>
  <si>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</si>
  <si>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</si>
  <si>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</si>
  <si>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</si>
  <si>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</si>
  <si>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</si>
  <si>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</si>
  <si>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</si>
  <si>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</si>
  <si>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</si>
  <si>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</si>
  <si>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</si>
  <si>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</si>
  <si>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</si>
  <si>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</si>
  <si>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</si>
  <si>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</si>
  <si>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</si>
  <si>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</si>
  <si>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</si>
  <si>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</si>
  <si>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</si>
  <si>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</si>
  <si>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</si>
  <si>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</si>
  <si>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</si>
  <si>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</si>
  <si>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</si>
  <si>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</si>
  <si>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</si>
  <si>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</si>
  <si>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</si>
  <si>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</si>
  <si>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</si>
  <si>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</si>
  <si>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</si>
  <si>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</si>
  <si>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</si>
  <si>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</si>
  <si>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</si>
  <si>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Day Count Convention</t>
  </si>
  <si>
    <t xml:space="preserve">The 'days' convention used to calculate interest:
30 / 360 (A011)
Actual / 365 (A005)
Actual / 360 (A004)
Actual / Actual ICMA (A006)
Actual / Actual ISDA (A008)
Actual / Actual AFB (A010)
Actual / 366 (A009)
Other (OTHR)
</t>
  </si>
  <si>
    <t>SEST30</t>
  </si>
  <si>
    <t>Settlement Convention</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</si>
  <si>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</si>
  <si>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</si>
  <si>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</si>
  <si>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</si>
  <si>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</si>
  <si>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</si>
  <si>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</si>
  <si>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</si>
  <si>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</si>
  <si>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</si>
  <si>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</si>
  <si>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</si>
  <si>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</si>
  <si>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</si>
  <si>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</si>
  <si>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</si>
  <si>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</si>
  <si>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</si>
  <si>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</si>
  <si>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</si>
  <si>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</si>
  <si>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</si>
  <si>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</si>
  <si>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</si>
  <si>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</si>
  <si>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</si>
  <si>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</si>
  <si>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</si>
  <si>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</si>
  <si>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</si>
  <si>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</si>
  <si>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</si>
  <si>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</si>
  <si>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</si>
  <si>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</si>
  <si>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</si>
  <si>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</si>
  <si>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</si>
  <si>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</si>
  <si>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</si>
  <si>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</si>
  <si>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</si>
  <si>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</si>
  <si>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</si>
  <si>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</si>
  <si>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</si>
  <si>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</si>
  <si>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</si>
  <si>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</si>
  <si>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</si>
  <si>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</si>
  <si>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</si>
  <si>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</si>
  <si>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</si>
  <si>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</si>
  <si>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</si>
  <si>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</si>
  <si>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</si>
  <si>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</si>
  <si>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</si>
  <si>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</si>
  <si>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</si>
  <si>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</si>
  <si>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</si>
  <si>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</si>
  <si>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</si>
  <si>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</si>
  <si>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</si>
  <si>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</si>
  <si>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</si>
  <si>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</si>
  <si>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</si>
  <si>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</si>
  <si>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</si>
  <si>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</si>
  <si>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</si>
  <si>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</si>
  <si>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</si>
  <si>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</si>
  <si>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</si>
  <si>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</si>
  <si>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</si>
  <si>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</si>
  <si>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</si>
  <si>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</si>
  <si>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</si>
  <si>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</si>
  <si>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</si>
  <si>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</si>
  <si>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</si>
  <si>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</si>
  <si>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</si>
  <si>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</si>
  <si>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</si>
  <si>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</si>
  <si>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</si>
  <si>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</si>
  <si>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Current Period</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</si>
  <si>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</si>
  <si>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</si>
  <si>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</si>
  <si>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</si>
  <si>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</si>
  <si>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</si>
  <si>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</si>
  <si>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</si>
  <si>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</si>
  <si>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</si>
  <si>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</si>
  <si>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</si>
  <si>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</si>
  <si>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</si>
  <si>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</si>
  <si>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</si>
  <si>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</si>
  <si>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</si>
  <si>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</si>
  <si>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</si>
  <si>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</si>
  <si>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</si>
  <si>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</si>
  <si>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</si>
  <si>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</si>
  <si>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</si>
  <si>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</si>
  <si>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</si>
  <si>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</si>
  <si>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</si>
  <si>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</si>
  <si>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</si>
  <si>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</si>
  <si>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</si>
  <si>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</si>
  <si>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</si>
  <si>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</si>
  <si>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</si>
  <si>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</si>
  <si>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</si>
  <si>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</si>
  <si>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</si>
  <si>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</si>
  <si>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</si>
  <si>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</si>
  <si>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</si>
  <si>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</si>
  <si>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</si>
  <si>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</si>
  <si>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</si>
  <si>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</si>
  <si>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</si>
  <si>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</si>
  <si>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</si>
  <si>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</si>
  <si>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</si>
  <si>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</si>
  <si>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</si>
  <si>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</si>
  <si>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</si>
  <si>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</si>
  <si>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</si>
  <si>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</si>
  <si>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</si>
  <si>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</si>
  <si>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</si>
  <si>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</si>
  <si>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</si>
  <si>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</si>
  <si>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</si>
  <si>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</si>
  <si>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</si>
  <si>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</si>
  <si>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</si>
  <si>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</si>
  <si>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</si>
  <si>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</si>
  <si>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</si>
  <si>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</si>
  <si>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</si>
  <si>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</si>
  <si>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</si>
  <si>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</si>
  <si>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</si>
  <si>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</si>
  <si>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</si>
  <si>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</si>
  <si>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</si>
  <si>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</si>
  <si>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</si>
  <si>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</si>
  <si>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</si>
  <si>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</si>
  <si>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</si>
  <si>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</si>
  <si>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</si>
  <si>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</si>
  <si>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</si>
  <si>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</si>
  <si>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</si>
  <si>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</si>
  <si>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</si>
  <si>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</si>
  <si>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EU</t>
  </si>
  <si>
    <t>Total EU assets under management
Include the currency in which the amount is denominated, using {CURRENCYCODE_3} format.</t>
  </si>
  <si>
    <t>SESL13</t>
  </si>
  <si>
    <t>AUM - EU CLOs</t>
  </si>
  <si>
    <t>Total EU CLOs under management
Include the currency in which the amount is denominated, using {CURRENCYCODE_3} format.</t>
  </si>
  <si>
    <t>SESL14</t>
  </si>
  <si>
    <t>Number EU CLOs</t>
  </si>
  <si>
    <t>Number EU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</si>
  <si>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</si>
  <si>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</si>
  <si>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</si>
  <si>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</si>
  <si>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</si>
  <si>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</si>
  <si>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</si>
  <si>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</si>
  <si>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</si>
  <si>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</si>
  <si>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</si>
  <si>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</si>
  <si>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</si>
  <si>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</si>
  <si>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</si>
  <si>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</si>
  <si>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</si>
  <si>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</si>
  <si>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</si>
  <si>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</si>
  <si>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</si>
  <si>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</si>
  <si>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</si>
  <si>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</si>
  <si>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</si>
  <si>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</si>
  <si>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</si>
  <si>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</si>
  <si>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</si>
  <si>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</si>
  <si>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</si>
  <si>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</si>
  <si>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</si>
  <si>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</si>
  <si>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</si>
  <si>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</si>
  <si>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</si>
  <si>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</si>
  <si>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</si>
  <si>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 (or as otherwise amended)?</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</si>
  <si>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</si>
  <si>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</si>
  <si>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</si>
  <si>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</si>
  <si>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</si>
  <si>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</si>
  <si>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</si>
  <si>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</si>
  <si>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</si>
  <si>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</si>
  <si>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</si>
  <si>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</si>
  <si>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</si>
  <si>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</si>
  <si>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</si>
  <si>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</si>
  <si>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</si>
  <si>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</si>
  <si>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</si>
  <si>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</si>
  <si>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</si>
  <si>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</si>
  <si>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</si>
  <si>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</si>
  <si>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</si>
  <si>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</si>
  <si>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</si>
  <si>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</si>
  <si>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</si>
  <si>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</si>
  <si>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</si>
  <si>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</si>
  <si>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</si>
  <si>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</si>
  <si>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</si>
  <si>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</si>
  <si>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</si>
  <si>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</si>
  <si>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</si>
  <si>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</si>
  <si>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</si>
  <si>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</si>
  <si>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</si>
  <si>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</si>
  <si>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</si>
  <si>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</si>
  <si>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</si>
  <si>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</si>
  <si>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</si>
  <si>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</si>
  <si>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</si>
  <si>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</si>
  <si>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</si>
  <si>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</si>
  <si>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</si>
  <si>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</si>
  <si>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</si>
  <si>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</si>
  <si>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</si>
  <si>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</si>
  <si>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</si>
  <si>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</si>
  <si>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</si>
  <si>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</si>
  <si>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</si>
  <si>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</si>
  <si>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</si>
  <si>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</si>
  <si>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</si>
  <si>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</si>
  <si>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</si>
  <si>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</si>
  <si>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</si>
  <si>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</si>
  <si>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</si>
  <si>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</si>
  <si>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</si>
  <si>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</si>
  <si>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</si>
  <si>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</si>
  <si>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</si>
  <si>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</si>
  <si>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</si>
  <si>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</si>
  <si>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</si>
  <si>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</si>
  <si>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</si>
  <si>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</si>
  <si>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</si>
  <si>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</si>
  <si>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</si>
  <si>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</si>
  <si>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</si>
  <si>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</si>
  <si>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</si>
  <si>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</si>
  <si>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</si>
  <si>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</si>
  <si>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</si>
  <si>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</si>
  <si>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</si>
  <si>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</si>
  <si>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</si>
  <si>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</si>
  <si>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</si>
  <si>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</si>
  <si>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</si>
  <si>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</si>
  <si>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</si>
  <si>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</si>
  <si>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</si>
  <si>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</si>
  <si>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</si>
  <si>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</si>
  <si>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</si>
  <si>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</si>
  <si>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</si>
  <si>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</si>
  <si>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</si>
  <si>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</si>
  <si>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</si>
  <si>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</si>
  <si>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</si>
  <si>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</si>
  <si>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</si>
  <si>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</si>
  <si>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</si>
  <si>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</si>
  <si>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</si>
  <si>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</si>
  <si>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</si>
  <si>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</si>
  <si>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</si>
  <si>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</si>
  <si>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</si>
  <si>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</si>
  <si>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</si>
  <si>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</si>
  <si>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</si>
  <si>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</si>
  <si>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</si>
  <si>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</si>
  <si>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</si>
  <si>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</si>
  <si>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</si>
  <si>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</si>
  <si>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</si>
  <si>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</si>
  <si>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</si>
  <si>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</si>
  <si>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</si>
  <si>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</si>
  <si>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</si>
  <si>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ESA Subsector</t>
  </si>
  <si>
    <t>The ESA 2010 classification of the collateral according to Regulation (EU) No 549/2013 ('ESA 2010').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</si>
  <si>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</si>
  <si>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</si>
  <si>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</si>
  <si>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</si>
  <si>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</si>
  <si>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</si>
  <si>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</si>
  <si>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</si>
  <si>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</si>
  <si>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</si>
  <si>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</si>
  <si>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</si>
  <si>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</si>
  <si>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</si>
  <si>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</si>
  <si>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</si>
  <si>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</si>
  <si>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</si>
  <si>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</si>
  <si>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</si>
  <si>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</si>
  <si>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</si>
  <si>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</si>
  <si>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</si>
  <si>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</si>
  <si>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</si>
  <si>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</si>
  <si>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</si>
  <si>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</si>
  <si>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</si>
  <si>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</si>
  <si>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</si>
  <si>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</si>
  <si>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</si>
  <si>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</si>
  <si>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</si>
  <si>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</si>
  <si>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</si>
  <si>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</si>
  <si>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</si>
  <si>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</si>
  <si>
    <t>FLTR</t>
  </si>
  <si>
    <t>ORIG</t>
  </si>
  <si>
    <t>RMRT</t>
  </si>
  <si>
    <t>Y</t>
  </si>
  <si>
    <t>N</t>
  </si>
  <si>
    <t>ND5</t>
  </si>
  <si>
    <t>PPOP_INCF1</t>
  </si>
  <si>
    <t>PPOP_OUTCF1</t>
  </si>
  <si>
    <t>PPOP_OUTCF2</t>
  </si>
  <si>
    <t>PPOP_OUTCF3</t>
  </si>
  <si>
    <t>PPOP_OUTCF4</t>
  </si>
  <si>
    <t>IPOP_OUTCF1</t>
  </si>
  <si>
    <t>IPOP_OUTCF2</t>
  </si>
  <si>
    <t>IPOP_OUTCF3</t>
  </si>
  <si>
    <t>IPOP_OUTCF4</t>
  </si>
  <si>
    <t>IPOP_OUTCF5</t>
  </si>
  <si>
    <t>IPOP_OUTCF6</t>
  </si>
  <si>
    <t>IPOP_OUTCF7</t>
  </si>
  <si>
    <t>IPOP_OUTCF8</t>
  </si>
  <si>
    <t>IPOP_OUTCF9</t>
  </si>
  <si>
    <t>IPOP_OUTCF10</t>
  </si>
  <si>
    <t>IPOP_OUTCF11</t>
  </si>
  <si>
    <t>IPOP_OUTCF12</t>
  </si>
  <si>
    <t>IPOP_INCF1</t>
  </si>
  <si>
    <t>FWNG</t>
  </si>
  <si>
    <t>CARE</t>
  </si>
  <si>
    <t>Subordinated</t>
  </si>
  <si>
    <t>A004</t>
  </si>
  <si>
    <t>ND6</t>
  </si>
  <si>
    <t>Issuer_Liquidation_Event1</t>
  </si>
  <si>
    <t>Issuer_Liquidation_Event2</t>
  </si>
  <si>
    <t>Issuer_Liquidation_Event3</t>
  </si>
  <si>
    <t>Issuer_Liquidation_Event4</t>
  </si>
  <si>
    <t>Issuer_Liquidation_Event5</t>
  </si>
  <si>
    <t>Accelerated_Redemption_Event_1</t>
  </si>
  <si>
    <t>Accelerated_Redemption_Event_2</t>
  </si>
  <si>
    <t>Servicer_Termination_Event1</t>
  </si>
  <si>
    <t>Servicer_Termination_Event2</t>
  </si>
  <si>
    <t>Servicer_Termination_Event3</t>
  </si>
  <si>
    <t>Servicer_Termination_Event4</t>
  </si>
  <si>
    <t>Servicer_Termination_Event5</t>
  </si>
  <si>
    <t>Servicer_Termination_Event6</t>
  </si>
  <si>
    <t>Servicer_Termination_Event7</t>
  </si>
  <si>
    <t>Management_Termination_Event1</t>
  </si>
  <si>
    <t>Management_Termination_Event2</t>
  </si>
  <si>
    <t>Management_Termination_Event3</t>
  </si>
  <si>
    <t>Management_Termination_Event4</t>
  </si>
  <si>
    <t>Custodian_Termination_Event1</t>
  </si>
  <si>
    <t>Custodian_Termination_Event2</t>
  </si>
  <si>
    <t>Custodian_Termination_Event3</t>
  </si>
  <si>
    <t>Custodian_Termination_Event4</t>
  </si>
  <si>
    <t>Management_Termination_Event5</t>
  </si>
  <si>
    <t>Management_Termination_Event6</t>
  </si>
  <si>
    <t>Management_Termination_Event7</t>
  </si>
  <si>
    <t>Account_Bank_Termination_Event1</t>
  </si>
  <si>
    <t>Account_Bank_Termination_Event2</t>
  </si>
  <si>
    <t>Account_Bank_Termination_Event3</t>
  </si>
  <si>
    <t>Account_Bank_Termination_Event4</t>
  </si>
  <si>
    <t>Account_Bank_Termination_Event5</t>
  </si>
  <si>
    <t>0,00 EUR</t>
  </si>
  <si>
    <t>IQEQ Management</t>
  </si>
  <si>
    <t>Omar Ghannam // Hugo Lavayssiere // Dimitri Bellaiche</t>
  </si>
  <si>
    <t>+33 1 86 65 64 25 // +33 1 86 65 64 68   //  +33 1 86 65 64 30</t>
  </si>
  <si>
    <t>omar.ghannam@iqeq.com // hugo.lavayssiere@iqeq.com // dimitri.bellaiche@iqeq.com</t>
  </si>
  <si>
    <t>0 EUR</t>
  </si>
  <si>
    <t>FR</t>
  </si>
  <si>
    <t>A</t>
  </si>
  <si>
    <t>R0MUWSFPU8MPRO8K5P83</t>
  </si>
  <si>
    <t>GB</t>
  </si>
  <si>
    <t>213800474IQZ3MDMWR85</t>
  </si>
  <si>
    <t>ALANTRA CORPORATE PORTFOLIO ADVISORS INTERNATIONAL LIMITED</t>
  </si>
  <si>
    <t>2221006TYY2Y64VC9N86</t>
  </si>
  <si>
    <t>PRICEWATERHOUSECOOPERS</t>
  </si>
  <si>
    <t>969500CY9YKWDZW47Y85</t>
  </si>
  <si>
    <t>Fitch</t>
  </si>
  <si>
    <t>2138009F8YAHVC8W3Q52</t>
  </si>
  <si>
    <t>A+</t>
  </si>
  <si>
    <t>ACTI</t>
  </si>
  <si>
    <t>MNGR</t>
  </si>
  <si>
    <t>SUBS</t>
  </si>
  <si>
    <t>COLA</t>
  </si>
  <si>
    <t>ABNK</t>
  </si>
  <si>
    <t>CACB</t>
  </si>
  <si>
    <t>SELL</t>
  </si>
  <si>
    <t>PAYA</t>
  </si>
  <si>
    <t>ARRG</t>
  </si>
  <si>
    <t>AUDT</t>
  </si>
  <si>
    <t>Cash_Reserve</t>
  </si>
  <si>
    <t xml:space="preserve">(i) Class B Outstanding amount plus (ii)Cash Reserve divided by (iii) Class A Outstanding amount </t>
  </si>
  <si>
    <t>Subordinated Notes</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</si>
  <si>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</si>
  <si>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</si>
  <si>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</si>
  <si>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</si>
  <si>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</si>
  <si>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</si>
  <si>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</si>
  <si>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</si>
  <si>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(5)
New Defaulted
Amount</t>
  </si>
  <si>
    <t>(5)
New Defaulted
Number</t>
  </si>
  <si>
    <t>(6) 
Old Defauted
Amount</t>
  </si>
  <si>
    <t>(6) 
Old Defauted
Number</t>
  </si>
  <si>
    <t>Number of None past due Home Loans</t>
  </si>
  <si>
    <t>Number of 01 - 30 days past due  Home Loans</t>
  </si>
  <si>
    <t>Number of 31 - 60 days past due Home Loans</t>
  </si>
  <si>
    <t>Number of 61 - 90 days past due Home Loans</t>
  </si>
  <si>
    <t>Libellé du compte</t>
  </si>
  <si>
    <t>Comptable</t>
  </si>
  <si>
    <t>Valeur</t>
  </si>
  <si>
    <t>Swift</t>
  </si>
  <si>
    <t>Référence client</t>
  </si>
  <si>
    <t>Description mouvement</t>
  </si>
  <si>
    <t>FINT</t>
  </si>
  <si>
    <t>NONREF</t>
  </si>
  <si>
    <t>Débits</t>
  </si>
  <si>
    <t>Solde nécessaire minimum</t>
  </si>
  <si>
    <t>Libellé au crédit</t>
  </si>
  <si>
    <t>Libellé au débit</t>
  </si>
  <si>
    <t>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t>
  </si>
  <si>
    <t xml:space="preserve">cha
</t>
  </si>
  <si>
    <t>AGIOS AU 31.07.2024</t>
  </si>
  <si>
    <t>AGIOS AU 30.08.2024</t>
  </si>
  <si>
    <t>AGIOS AU 30.09.2024</t>
  </si>
  <si>
    <t>compte</t>
  </si>
  <si>
    <t>libelle</t>
  </si>
  <si>
    <t>Journal</t>
  </si>
  <si>
    <t>BQ1</t>
  </si>
  <si>
    <t>BQ2</t>
  </si>
  <si>
    <t>BQ3</t>
  </si>
  <si>
    <t>BQ4</t>
  </si>
  <si>
    <t xml:space="preserve">Defaulted Home Loans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</si>
</sst>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43" formatCode="_-* #,##0.00_-;\-* #,##0.00_-;_-* &quot;-&quot;??_-;_-@_-"/>
    <numFmt numFmtId="164" formatCode="_-* #,##0.00\ _€_-;\-* #,##0.00\ _€_-;_-* &quot;-&quot;??\ _€_-;_-@_-"/>
    <numFmt numFmtId="165" formatCode="#,##0.00_ ;\-#,##0.00\ "/>
    <numFmt numFmtId="166" formatCode="0.0000%"/>
    <numFmt numFmtId="167" formatCode="_-* #,##0.00\ _F_-;\-* #,##0.00\ _F_-;_-* &quot;-&quot;??\ _F_-;_-@_-"/>
    <numFmt numFmtId="168" formatCode="0.000%"/>
    <numFmt numFmtId="169" formatCode="_-[$€-2]* #,##0.000_-;\-[$€-2]* #,##0.000_-;_-[$€-2]* &quot;-&quot;??_-"/>
    <numFmt numFmtId="170" formatCode="dd/mm/yyyy;@"/>
    <numFmt numFmtId="171" formatCode="_-[$€-2]* #,##0_-;\-[$€-2]* #,##0_-;_-[$€-2]* &quot;-&quot;??_-"/>
    <numFmt numFmtId="172" formatCode="0.0%"/>
    <numFmt numFmtId="173" formatCode="[$-409]mmmm\ d\,\ yyyy;@"/>
    <numFmt numFmtId="174" formatCode="_(* #,##0.00_);_(* \(#,##0.00\);_(* &quot;-&quot;??_);_(@_)"/>
    <numFmt numFmtId="175" formatCode="_-* #,##0.00\ [$EUR]_-;\-* #,##0.00\ [$EUR]_-;_-* &quot;-&quot;??\ [$EUR]_-;_-@_-"/>
    <numFmt numFmtId="176" formatCode="_-* #,##0.00000000\ _€_-;\-* #,##0.00000000\ _€_-;_-* &quot;-&quot;??\ _€_-;_-@_-"/>
    <numFmt numFmtId="177" formatCode="_-* #,##0\ _F_-;\-* #,##0\ _F_-;_-* &quot;-&quot;??\ _F_-;_-@_-"/>
    <numFmt numFmtId="178" formatCode="dd\-mm\-yyyy"/>
    <numFmt numFmtId="179" formatCode="_-* #,##0.000\ _€_-;\-* #,##0.000\ _€_-;_-* &quot;-&quot;???\ _€_-;_-@_-"/>
    <numFmt numFmtId="180" formatCode="#,##0.000"/>
  </numFmts>
  <fonts count="17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sz val="10"/>
      <name val="Arial"/>
      <family val="2"/>
    </font>
    <font>
      <b/>
      <sz val="12"/>
      <name val="Arial"/>
      <family val="2"/>
    </font>
    <font>
      <b/>
      <i/>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1"/>
      <color theme="1"/>
      <name val="Calibri"/>
      <family val="2"/>
      <scheme val="minor"/>
    </font>
    <font>
      <b/>
      <sz val="11"/>
      <color theme="1"/>
      <name val="Calibri"/>
      <family val="2"/>
      <scheme val="minor"/>
    </font>
    <font>
      <b/>
      <i/>
      <sz val="11"/>
      <color theme="1"/>
      <name val="Calibri"/>
      <family val="2"/>
      <scheme val="minor"/>
    </font>
    <font>
      <b/>
      <u/>
      <sz val="10"/>
      <name val="Arial"/>
      <family val="2"/>
    </font>
    <font>
      <b/>
      <sz val="11"/>
      <name val="Arial"/>
      <family val="2"/>
    </font>
    <font>
      <sz val="11"/>
      <color theme="0"/>
      <name val="Calibri"/>
      <family val="2"/>
      <scheme val="minor"/>
    </font>
    <font>
      <b/>
      <sz val="12"/>
      <color theme="0"/>
      <name val="Arial"/>
      <family val="2"/>
    </font>
    <font>
      <b/>
      <sz val="12"/>
      <color indexed="9"/>
      <name val="Arial"/>
      <family val="2"/>
    </font>
    <font>
      <sz val="11"/>
      <name val="Calibri"/>
      <family val="2"/>
      <scheme val="minor"/>
    </font>
    <font>
      <sz val="7"/>
      <name val="Arial"/>
      <family val="2"/>
    </font>
    <font>
      <sz val="20"/>
      <color indexed="10"/>
      <name val="Arial Black"/>
      <family val="2"/>
    </font>
    <font>
      <sz val="12"/>
      <color indexed="10"/>
      <name val="Arial Black"/>
      <family val="2"/>
    </font>
    <font>
      <sz val="12"/>
      <name val="Arial"/>
      <family val="2"/>
    </font>
    <font>
      <sz val="12"/>
      <color indexed="60"/>
      <name val="Arial"/>
      <family val="2"/>
    </font>
    <font>
      <b/>
      <sz val="12"/>
      <color indexed="21"/>
      <name val="Arial"/>
      <family val="2"/>
    </font>
    <font>
      <i/>
      <sz val="12"/>
      <name val="Arial"/>
      <family val="2"/>
    </font>
    <font>
      <b/>
      <i/>
      <sz val="12"/>
      <color indexed="21"/>
      <name val="Arial"/>
      <family val="2"/>
    </font>
    <font>
      <b/>
      <i/>
      <sz val="12"/>
      <name val="Cambria"/>
      <family val="1"/>
      <scheme val="major"/>
    </font>
    <font>
      <sz val="12"/>
      <color indexed="21"/>
      <name val="Arial"/>
      <family val="2"/>
    </font>
    <font>
      <b/>
      <sz val="13"/>
      <color indexed="18"/>
      <name val="Arial"/>
      <family val="2"/>
    </font>
    <font>
      <sz val="10"/>
      <color indexed="18"/>
      <name val="Arial"/>
      <family val="2"/>
    </font>
    <font>
      <b/>
      <sz val="12"/>
      <color indexed="18"/>
      <name val="Arial"/>
      <family val="2"/>
    </font>
    <font>
      <b/>
      <sz val="10"/>
      <color theme="0"/>
      <name val="Arial"/>
      <family val="2"/>
    </font>
    <font>
      <b/>
      <sz val="10"/>
      <color indexed="16"/>
      <name val="Arial"/>
      <family val="2"/>
    </font>
    <font>
      <b/>
      <sz val="10"/>
      <color rgb="FF0000FF"/>
      <name val="Arial"/>
      <family val="2"/>
    </font>
    <font>
      <sz val="10"/>
      <name val="Times New Roman"/>
      <family val="1"/>
    </font>
    <font>
      <b/>
      <sz val="10"/>
      <color indexed="18"/>
      <name val="Arial"/>
      <family val="2"/>
    </font>
    <font>
      <b/>
      <i/>
      <sz val="10"/>
      <name val="Times New Roman"/>
      <family val="1"/>
    </font>
    <font>
      <sz val="10"/>
      <color indexed="10"/>
      <name val="Arial"/>
      <family val="2"/>
    </font>
    <font>
      <sz val="10"/>
      <color indexed="12"/>
      <name val="Arial"/>
      <family val="2"/>
    </font>
    <font>
      <b/>
      <sz val="8"/>
      <name val="Arial"/>
      <family val="2"/>
    </font>
    <font>
      <b/>
      <i/>
      <sz val="10"/>
      <color theme="5"/>
      <name val="Arial"/>
      <family val="2"/>
    </font>
    <font>
      <i/>
      <sz val="11"/>
      <color theme="1"/>
      <name val="Calibri"/>
      <family val="2"/>
      <scheme val="minor"/>
    </font>
    <font>
      <b/>
      <i/>
      <sz val="10"/>
      <color indexed="18"/>
      <name val="Arial"/>
      <family val="2"/>
    </font>
    <font>
      <b/>
      <i/>
      <sz val="10"/>
      <color indexed="62"/>
      <name val="Arial"/>
      <family val="2"/>
    </font>
    <font>
      <b/>
      <sz val="10"/>
      <color indexed="62"/>
      <name val="Arial"/>
      <family val="2"/>
    </font>
    <font>
      <sz val="10"/>
      <color theme="0"/>
      <name val="Arial"/>
      <family val="2"/>
    </font>
    <font>
      <b/>
      <sz val="16"/>
      <color rgb="FF00B050"/>
      <name val="Arial"/>
      <family val="2"/>
    </font>
    <font>
      <b/>
      <u/>
      <sz val="11"/>
      <name val="Arial"/>
      <family val="2"/>
    </font>
    <font>
      <b/>
      <sz val="9"/>
      <name val="Arial"/>
      <family val="2"/>
    </font>
    <font>
      <b/>
      <sz val="8"/>
      <color indexed="12"/>
      <name val="Arial"/>
      <family val="2"/>
    </font>
    <font>
      <b/>
      <sz val="8"/>
      <color indexed="17"/>
      <name val="Arial"/>
      <family val="2"/>
    </font>
    <font>
      <sz val="9"/>
      <color indexed="17"/>
      <name val="Arial"/>
      <family val="2"/>
    </font>
    <font>
      <sz val="8"/>
      <color indexed="8"/>
      <name val="Arial"/>
      <family val="2"/>
    </font>
    <font>
      <b/>
      <sz val="8"/>
      <color rgb="FFFF0000"/>
      <name val="Arial"/>
      <family val="2"/>
    </font>
    <font>
      <sz val="9"/>
      <color indexed="10"/>
      <name val="Arial"/>
      <family val="2"/>
    </font>
    <font>
      <sz val="9"/>
      <color indexed="8"/>
      <name val="Arial"/>
      <family val="2"/>
    </font>
    <font>
      <sz val="10"/>
      <color rgb="FF0000FF"/>
      <name val="Arial"/>
      <family val="2"/>
    </font>
    <font>
      <b/>
      <sz val="8"/>
      <color theme="0"/>
      <name val="Arial"/>
      <family val="2"/>
    </font>
    <font>
      <b/>
      <sz val="9"/>
      <color theme="0"/>
      <name val="Arial"/>
      <family val="2"/>
    </font>
    <font>
      <b/>
      <sz val="8"/>
      <color rgb="FF0000FF"/>
      <name val="Arial"/>
      <family val="2"/>
    </font>
    <font>
      <b/>
      <sz val="14"/>
      <color theme="0"/>
      <name val="Arial"/>
      <family val="2"/>
    </font>
    <font>
      <b/>
      <sz val="16"/>
      <name val="Arial"/>
      <family val="2"/>
    </font>
    <font>
      <b/>
      <sz val="10"/>
      <color indexed="8"/>
      <name val="Arial"/>
      <family val="2"/>
    </font>
    <font>
      <b/>
      <sz val="10"/>
      <color indexed="56"/>
      <name val="Arial"/>
      <family val="2"/>
    </font>
    <font>
      <sz val="9"/>
      <color rgb="FF0000FF"/>
      <name val="Arial"/>
      <family val="2"/>
    </font>
    <font>
      <sz val="9"/>
      <name val="Arial"/>
      <family val="2"/>
    </font>
    <font>
      <b/>
      <sz val="14"/>
      <color indexed="10"/>
      <name val="Arial"/>
      <family val="2"/>
    </font>
    <font>
      <sz val="11"/>
      <name val="Arial"/>
      <family val="2"/>
    </font>
    <font>
      <sz val="10"/>
      <name val="Arial"/>
      <family val="2"/>
    </font>
    <font>
      <b/>
      <sz val="11"/>
      <color theme="0"/>
      <name val="Calibri"/>
      <family val="2"/>
      <scheme val="minor"/>
    </font>
    <font>
      <b/>
      <sz val="10"/>
      <color theme="1"/>
      <name val="Arial"/>
      <family val="2"/>
    </font>
    <font>
      <b/>
      <sz val="10"/>
      <color rgb="FF002060"/>
      <name val="Arial"/>
      <family val="2"/>
    </font>
    <font>
      <sz val="9"/>
      <color theme="0"/>
      <name val="Arial"/>
      <family val="2"/>
    </font>
    <font>
      <b/>
      <sz val="9"/>
      <color theme="1"/>
      <name val="Calibri"/>
      <family val="2"/>
      <scheme val="minor"/>
    </font>
    <font>
      <sz val="9"/>
      <color theme="1"/>
      <name val="Arial"/>
      <family val="2"/>
    </font>
    <font>
      <b/>
      <sz val="10"/>
      <color theme="1"/>
      <name val="Calibri"/>
      <family val="2"/>
      <scheme val="minor"/>
    </font>
    <font>
      <sz val="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u/>
      <sz val="10"/>
      <color theme="10"/>
      <name val="Arial"/>
      <family val="2"/>
    </font>
    <font>
      <sz val="11"/>
      <color rgb="FF000000"/>
      <name val="Calibri"/>
      <family val="2"/>
    </font>
    <font>
      <sz val="8"/>
      <name val="Arial"/>
      <family val="2"/>
    </font>
    <font>
      <sz val="8"/>
      <color theme="1"/>
      <name val="Arial"/>
      <family val="2"/>
    </font>
    <font>
      <b/>
      <sz val="8"/>
      <color indexed="16"/>
      <name val="Arial"/>
      <family val="2"/>
    </font>
    <font>
      <b/>
      <sz val="11"/>
      <color indexed="8"/>
      <name val="Arial"/>
      <family val="2"/>
    </font>
    <font>
      <sz val="8"/>
      <name val="Arial"/>
      <family val="2"/>
    </font>
    <font>
      <b/>
      <sz val="10"/>
      <color theme="3" tint="-0.249977111117893"/>
      <name val="Arial"/>
      <family val="2"/>
    </font>
    <font>
      <b/>
      <sz val="11"/>
      <color theme="0"/>
      <name val="Arial"/>
      <family val="2"/>
    </font>
    <font>
      <b/>
      <sz val="12"/>
      <color theme="3" tint="0.39997558519241921"/>
      <name val="Arial"/>
      <family val="2"/>
    </font>
    <font>
      <i/>
      <sz val="11"/>
      <name val="Cambria"/>
      <family val="1"/>
      <scheme val="major"/>
    </font>
    <font>
      <b/>
      <i/>
      <sz val="12"/>
      <color indexed="21"/>
      <name val="Cambria"/>
      <family val="1"/>
      <scheme val="major"/>
    </font>
    <font>
      <b/>
      <sz val="10"/>
      <name val="Cambria"/>
      <family val="1"/>
      <scheme val="major"/>
    </font>
    <font>
      <sz val="11"/>
      <color theme="1"/>
      <name val="Arial"/>
      <family val="2"/>
    </font>
    <font>
      <sz val="10"/>
      <color theme="1"/>
      <name val="Arial"/>
      <family val="2"/>
    </font>
    <font>
      <b/>
      <sz val="28"/>
      <name val="Calibri"/>
      <family val="2"/>
      <scheme val="minor"/>
    </font>
    <font>
      <b/>
      <sz val="11"/>
      <color theme="1"/>
      <name val="Times New Roman"/>
      <family val="1"/>
    </font>
    <font>
      <sz val="11"/>
      <color theme="1"/>
      <name val="Times New Roman"/>
      <family val="1"/>
    </font>
    <font>
      <b/>
      <sz val="15"/>
      <name val="Arial"/>
      <family val="2"/>
    </font>
    <font>
      <sz val="15"/>
      <name val="Arial"/>
      <family val="2"/>
    </font>
    <font>
      <sz val="8"/>
      <color rgb="FF000000"/>
      <name val="Arial"/>
      <family val="2"/>
    </font>
    <font>
      <sz val="11"/>
      <color theme="7" tint="-0.499984740745262"/>
      <name val="Calibri"/>
      <family val="2"/>
      <scheme val="minor"/>
    </font>
    <font>
      <b/>
      <sz val="9"/>
      <color rgb="FF0000FF"/>
      <name val="Arial"/>
      <family val="2"/>
    </font>
    <font>
      <b/>
      <sz val="8"/>
      <color rgb="FF00B050"/>
      <name val="Arial"/>
      <family val="2"/>
    </font>
    <font>
      <b/>
      <sz val="8"/>
      <color indexed="8"/>
      <name val="Arial"/>
      <family val="2"/>
    </font>
    <font>
      <b/>
      <sz val="12"/>
      <color theme="0"/>
      <name val="Cambria"/>
      <family val="1"/>
      <scheme val="major"/>
    </font>
    <font>
      <b/>
      <sz val="28"/>
      <color theme="9" tint="-0.249977111117893"/>
      <name val="Calibri"/>
      <family val="2"/>
      <scheme val="minor"/>
    </font>
    <font>
      <b/>
      <sz val="28"/>
      <color theme="2" tint="-0.749992370372631"/>
      <name val="Calibri"/>
      <family val="2"/>
      <scheme val="minor"/>
    </font>
    <font>
      <b/>
      <sz val="9"/>
      <color theme="2" tint="-0.749992370372631"/>
      <name val="Arial"/>
      <family val="2"/>
    </font>
    <font>
      <b/>
      <i/>
      <sz val="10"/>
      <color theme="1"/>
      <name val="Arial"/>
      <family val="2"/>
    </font>
    <font>
      <b/>
      <sz val="9"/>
      <color theme="1"/>
      <name val="Arial"/>
      <family val="2"/>
    </font>
    <font>
      <b/>
      <sz val="8"/>
      <color theme="1"/>
      <name val="Arial"/>
      <family val="2"/>
    </font>
    <font>
      <sz val="9"/>
      <color indexed="12"/>
      <name val="Arial"/>
      <family val="2"/>
    </font>
    <font>
      <sz val="10"/>
      <color indexed="9"/>
      <name val="Arial"/>
      <family val="2"/>
    </font>
    <font>
      <sz val="8"/>
      <name val="Arial"/>
      <family val="2"/>
    </font>
    <font>
      <sz val="16"/>
      <name val="Arial"/>
      <family val="2"/>
    </font>
    <font>
      <i/>
      <sz val="10"/>
      <color theme="0"/>
      <name val="Arial"/>
      <family val="2"/>
    </font>
    <font>
      <sz val="8"/>
      <name val="Arial"/>
      <family val="2"/>
    </font>
    <font>
      <b/>
      <sz val="12"/>
      <color rgb="FF7030A0"/>
      <name val="Cambria"/>
      <family val="1"/>
      <scheme val="major"/>
    </font>
    <font>
      <b/>
      <i/>
      <sz val="10"/>
      <color indexed="56"/>
      <name val="Arial"/>
      <family val="2"/>
    </font>
    <font>
      <b/>
      <sz val="9"/>
      <color indexed="81"/>
      <name val="Tahoma"/>
      <family val="2"/>
    </font>
    <font>
      <i/>
      <sz val="8"/>
      <color rgb="FFC2D597"/>
      <name val="Aptos Black"/>
      <family val="2"/>
    </font>
    <font>
      <sz val="11"/>
      <color indexed="8"/>
      <name val="Calibri"/>
      <family val="2"/>
      <scheme val="minor"/>
    </font>
    <font>
      <b/>
      <sz val="11"/>
      <name val="Calibri"/>
      <family val="2"/>
    </font>
    <font>
      <b/>
      <sz val="10"/>
      <color rgb="FF000000"/>
      <name val="Arial"/>
      <family val="2"/>
    </font>
    <font>
      <sz val="8"/>
      <name val="Arial"/>
      <family val="2"/>
    </font>
    <font>
      <sz val="10"/>
      <color rgb="FF00B050"/>
      <name val="Arial"/>
      <family val="2"/>
    </font>
    <font>
      <sz val="10"/>
      <color rgb="FFFF0000"/>
      <name val="Arial"/>
      <family val="2"/>
    </font>
  </fonts>
  <fills count="7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mediumGray">
        <bgColor theme="4" tint="0.79998168889431442"/>
      </patternFill>
    </fill>
    <fill>
      <patternFill patternType="solid">
        <fgColor theme="5" tint="0.39997558519241921"/>
        <bgColor indexed="64"/>
      </patternFill>
    </fill>
    <fill>
      <patternFill patternType="solid">
        <fgColor rgb="FFE7F0FD"/>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tint="0.39997558519241921"/>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mediumGray">
        <bgColor theme="0" tint="-0.14996795556505021"/>
      </patternFill>
    </fill>
    <fill>
      <patternFill patternType="solid">
        <fgColor rgb="FF7030A0"/>
        <bgColor indexed="64"/>
      </patternFill>
    </fill>
    <fill>
      <patternFill patternType="solid">
        <fgColor rgb="FF00FFCC"/>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
      <patternFill patternType="solid">
        <fgColor theme="4"/>
        <bgColor theme="4"/>
      </patternFill>
    </fill>
    <fill>
      <patternFill patternType="solid">
        <fgColor theme="4" tint="0.79998168889431442"/>
        <bgColor theme="4" tint="0.79998168889431442"/>
      </patternFill>
    </fill>
  </fills>
  <borders count="34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dashed">
        <color indexed="64"/>
      </left>
      <right style="dashed">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dashed">
        <color auto="1"/>
      </left>
      <right style="dashed">
        <color auto="1"/>
      </right>
      <top style="dashed">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dashed">
        <color auto="1"/>
      </bottom>
      <diagonal/>
    </border>
    <border>
      <left style="hair">
        <color indexed="64"/>
      </left>
      <right/>
      <top style="hair">
        <color indexed="64"/>
      </top>
      <bottom style="hair">
        <color indexed="64"/>
      </bottom>
      <diagonal/>
    </border>
    <border>
      <left style="dashed">
        <color indexed="64"/>
      </left>
      <right style="dashed">
        <color indexed="64"/>
      </right>
      <top style="dashed">
        <color indexed="64"/>
      </top>
      <bottom style="hair">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ck">
        <color indexed="55"/>
      </top>
      <bottom style="thin">
        <color indexed="55"/>
      </bottom>
      <diagonal/>
    </border>
    <border>
      <left/>
      <right/>
      <top style="thin">
        <color theme="0" tint="-0.14996795556505021"/>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55"/>
      </left>
      <right style="thin">
        <color indexed="55"/>
      </right>
      <top style="hair">
        <color indexed="55"/>
      </top>
      <bottom style="thin">
        <color indexed="55"/>
      </bottom>
      <diagonal/>
    </border>
    <border>
      <left style="medium">
        <color theme="0" tint="-0.14996795556505021"/>
      </left>
      <right/>
      <top style="medium">
        <color theme="0" tint="-0.14996795556505021"/>
      </top>
      <bottom style="medium">
        <color theme="0" tint="-0.14996795556505021"/>
      </bottom>
      <diagonal/>
    </border>
    <border>
      <left/>
      <right style="thin">
        <color indexed="63"/>
      </right>
      <top style="hair">
        <color indexed="23"/>
      </top>
      <bottom style="hair">
        <color indexed="23"/>
      </bottom>
      <diagonal/>
    </border>
    <border>
      <left/>
      <right/>
      <top style="hair">
        <color indexed="55"/>
      </top>
      <bottom style="hair">
        <color indexed="55"/>
      </bottom>
      <diagonal/>
    </border>
    <border>
      <left/>
      <right style="thin">
        <color indexed="63"/>
      </right>
      <top style="hair">
        <color indexed="23"/>
      </top>
      <bottom/>
      <diagonal/>
    </border>
    <border>
      <left style="thin">
        <color indexed="23"/>
      </left>
      <right/>
      <top style="thin">
        <color indexed="23"/>
      </top>
      <bottom/>
      <diagonal/>
    </border>
    <border>
      <left/>
      <right/>
      <top style="thin">
        <color indexed="23"/>
      </top>
      <bottom/>
      <diagonal/>
    </border>
    <border>
      <left style="thin">
        <color indexed="64"/>
      </left>
      <right/>
      <top style="thin">
        <color indexed="64"/>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right style="thin">
        <color indexed="64"/>
      </right>
      <top/>
      <bottom/>
      <diagonal/>
    </border>
    <border>
      <left/>
      <right style="thin">
        <color indexed="23"/>
      </right>
      <top style="thin">
        <color indexed="23"/>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style="thin">
        <color indexed="23"/>
      </left>
      <right/>
      <top style="hair">
        <color indexed="23"/>
      </top>
      <bottom style="hair">
        <color indexed="23"/>
      </bottom>
      <diagonal/>
    </border>
    <border>
      <left style="thin">
        <color indexed="63"/>
      </left>
      <right style="thin">
        <color indexed="23"/>
      </right>
      <top style="hair">
        <color indexed="23"/>
      </top>
      <bottom/>
      <diagonal/>
    </border>
    <border>
      <left style="thin">
        <color indexed="23"/>
      </left>
      <right/>
      <top/>
      <bottom style="hair">
        <color indexed="23"/>
      </bottom>
      <diagonal/>
    </border>
    <border>
      <left style="thin">
        <color indexed="23"/>
      </left>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dashed">
        <color indexed="64"/>
      </left>
      <right style="dashed">
        <color indexed="64"/>
      </right>
      <top style="hair">
        <color indexed="64"/>
      </top>
      <bottom/>
      <diagonal/>
    </border>
    <border>
      <left style="dashed">
        <color auto="1"/>
      </left>
      <right style="dashed">
        <color auto="1"/>
      </right>
      <top/>
      <bottom style="hair">
        <color auto="1"/>
      </bottom>
      <diagonal/>
    </border>
    <border>
      <left style="dashed">
        <color indexed="64"/>
      </left>
      <right style="dashed">
        <color indexed="64"/>
      </right>
      <top style="hair">
        <color indexed="64"/>
      </top>
      <bottom style="dashed">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hair">
        <color indexed="64"/>
      </left>
      <right style="hair">
        <color indexed="64"/>
      </right>
      <top/>
      <bottom style="medium">
        <color indexed="64"/>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bottom style="dotted">
        <color indexed="22"/>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54"/>
      </bottom>
      <diagonal/>
    </border>
    <border>
      <left/>
      <right style="medium">
        <color indexed="64"/>
      </right>
      <top style="medium">
        <color indexed="64"/>
      </top>
      <bottom style="dashed">
        <color indexed="5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54"/>
      </top>
      <bottom style="dashed">
        <color indexed="64"/>
      </bottom>
      <diagonal/>
    </border>
    <border>
      <left/>
      <right style="medium">
        <color indexed="64"/>
      </right>
      <top style="dashed">
        <color indexed="54"/>
      </top>
      <bottom style="dashed">
        <color indexed="54"/>
      </bottom>
      <diagonal/>
    </border>
    <border>
      <left/>
      <right/>
      <top style="hair">
        <color indexed="64"/>
      </top>
      <bottom style="hair">
        <color indexed="64"/>
      </bottom>
      <diagonal/>
    </border>
    <border>
      <left style="dotted">
        <color theme="0" tint="-0.499984740745262"/>
      </left>
      <right style="dotted">
        <color theme="0" tint="-0.499984740745262"/>
      </right>
      <top/>
      <bottom style="dashed">
        <color theme="0" tint="-0.499984740745262"/>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thin">
        <color auto="1"/>
      </left>
      <right style="thin">
        <color auto="1"/>
      </right>
      <top style="thin">
        <color auto="1"/>
      </top>
      <bottom style="thin">
        <color auto="1"/>
      </bottom>
      <diagonal/>
    </border>
    <border>
      <left style="thick">
        <color indexed="22"/>
      </left>
      <right/>
      <top style="hair">
        <color indexed="22"/>
      </top>
      <bottom style="hair">
        <color indexed="22"/>
      </bottom>
      <diagonal/>
    </border>
    <border>
      <left style="thin">
        <color indexed="22"/>
      </left>
      <right style="medium">
        <color indexed="64"/>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n">
        <color indexed="22"/>
      </left>
      <right style="thin">
        <color indexed="22"/>
      </right>
      <top style="hair">
        <color indexed="22"/>
      </top>
      <bottom style="hair">
        <color indexed="22"/>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right style="thin">
        <color indexed="55"/>
      </right>
      <top style="thin">
        <color indexed="55"/>
      </top>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style="medium">
        <color indexed="55"/>
      </right>
      <top style="hair">
        <color indexed="55"/>
      </top>
      <bottom style="hair">
        <color indexed="55"/>
      </bottom>
      <diagonal/>
    </border>
    <border>
      <left style="hair">
        <color indexed="55"/>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style="medium">
        <color indexed="55"/>
      </right>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style="hair">
        <color indexed="55"/>
      </top>
      <bottom style="medium">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top style="hair">
        <color indexed="55"/>
      </top>
      <bottom/>
      <diagonal/>
    </border>
    <border>
      <left/>
      <right/>
      <top style="hair">
        <color indexed="55"/>
      </top>
      <bottom/>
      <diagonal/>
    </border>
    <border>
      <left/>
      <right style="medium">
        <color indexed="55"/>
      </right>
      <top style="hair">
        <color indexed="55"/>
      </top>
      <bottom/>
      <diagonal/>
    </border>
    <border>
      <left style="medium">
        <color indexed="55"/>
      </left>
      <right style="hair">
        <color indexed="55"/>
      </right>
      <top/>
      <bottom style="hair">
        <color indexed="55"/>
      </bottom>
      <diagonal/>
    </border>
    <border>
      <left style="thin">
        <color indexed="55"/>
      </left>
      <right/>
      <top style="medium">
        <color indexed="55"/>
      </top>
      <bottom style="medium">
        <color indexed="55"/>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thin">
        <color indexed="64"/>
      </left>
      <right/>
      <top/>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dotted">
        <color indexed="55"/>
      </left>
      <right/>
      <top style="thin">
        <color indexed="55"/>
      </top>
      <bottom style="hair">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thin">
        <color theme="0"/>
      </left>
      <right/>
      <top/>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hair">
        <color theme="0" tint="-0.24994659260841701"/>
      </left>
      <right style="medium">
        <color indexed="64"/>
      </right>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top style="dotted">
        <color indexed="22"/>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thin">
        <color indexed="55"/>
      </left>
      <right/>
      <top style="medium">
        <color indexed="64"/>
      </top>
      <bottom style="medium">
        <color indexed="64"/>
      </bottom>
      <diagonal/>
    </border>
    <border>
      <left style="hair">
        <color theme="0" tint="-0.24994659260841701"/>
      </left>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thick">
        <color rgb="FFC0C0C0"/>
      </left>
      <right style="thin">
        <color rgb="FFC0C0C0"/>
      </right>
      <top style="dotted">
        <color indexed="22"/>
      </top>
      <bottom style="dotted">
        <color indexed="22"/>
      </bottom>
      <diagonal/>
    </border>
    <border>
      <left style="thick">
        <color rgb="FFC0C0C0"/>
      </left>
      <right style="thick">
        <color indexed="22"/>
      </right>
      <top style="thick">
        <color rgb="FFC0C0C0"/>
      </top>
      <bottom style="dotted">
        <color indexed="22"/>
      </bottom>
      <diagonal/>
    </border>
    <border>
      <left style="thick">
        <color indexed="22"/>
      </left>
      <right style="thick">
        <color indexed="22"/>
      </right>
      <top style="thick">
        <color indexed="22"/>
      </top>
      <bottom style="hair">
        <color indexed="22"/>
      </bottom>
      <diagonal/>
    </border>
    <border>
      <left style="thick">
        <color indexed="22"/>
      </left>
      <right style="thick">
        <color indexed="22"/>
      </right>
      <top style="hair">
        <color indexed="22"/>
      </top>
      <bottom style="hair">
        <color indexed="22"/>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right style="thin">
        <color indexed="23"/>
      </right>
      <top style="thin">
        <color indexed="23"/>
      </top>
      <bottom style="thin">
        <color indexed="23"/>
      </bottom>
      <diagonal/>
    </border>
    <border>
      <left/>
      <right/>
      <top style="hair">
        <color indexed="23"/>
      </top>
      <bottom style="hair">
        <color indexed="23"/>
      </bottom>
      <diagonal/>
    </border>
    <border>
      <left/>
      <right/>
      <top style="hair">
        <color indexed="55"/>
      </top>
      <bottom style="hair">
        <color indexed="55"/>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style="dashDotDot">
        <color theme="0" tint="-4.9989318521683403E-2"/>
      </top>
      <bottom/>
      <diagonal/>
    </border>
    <border>
      <left style="dotted">
        <color auto="1"/>
      </left>
      <right style="hair">
        <color auto="1"/>
      </right>
      <top style="dotted">
        <color auto="1"/>
      </top>
      <bottom/>
      <diagonal/>
    </border>
    <border>
      <left style="dotted">
        <color auto="1"/>
      </left>
      <right style="hair">
        <color auto="1"/>
      </right>
      <top/>
      <bottom style="dotted">
        <color auto="1"/>
      </bottom>
      <diagonal/>
    </border>
    <border>
      <left style="hair">
        <color auto="1"/>
      </left>
      <right/>
      <top/>
      <bottom style="hair">
        <color auto="1"/>
      </bottom>
      <diagonal/>
    </border>
    <border>
      <left/>
      <right/>
      <top/>
      <bottom style="hair">
        <color auto="1"/>
      </bottom>
      <diagonal/>
    </border>
    <border>
      <left/>
      <right/>
      <top style="thin">
        <color indexed="55"/>
      </top>
      <bottom style="thin">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style="thin">
        <color indexed="64"/>
      </left>
      <right style="thin">
        <color indexed="64"/>
      </right>
      <top style="thin">
        <color indexed="64"/>
      </top>
      <bottom style="hair">
        <color indexed="63"/>
      </bottom>
      <diagonal/>
    </border>
    <border>
      <left style="thin">
        <color indexed="64"/>
      </left>
      <right/>
      <top style="hair">
        <color indexed="55"/>
      </top>
      <bottom style="hair">
        <color indexed="55"/>
      </bottom>
      <diagonal/>
    </border>
    <border>
      <left/>
      <right style="thin">
        <color indexed="64"/>
      </right>
      <top style="hair">
        <color indexed="55"/>
      </top>
      <bottom style="hair">
        <color indexed="55"/>
      </bottom>
      <diagonal/>
    </border>
    <border>
      <left style="thin">
        <color indexed="64"/>
      </left>
      <right style="thin">
        <color indexed="64"/>
      </right>
      <top style="hair">
        <color indexed="23"/>
      </top>
      <bottom style="hair">
        <color indexed="23"/>
      </bottom>
      <diagonal/>
    </border>
    <border>
      <left/>
      <right style="thin">
        <color indexed="64"/>
      </right>
      <top style="hair">
        <color indexed="23"/>
      </top>
      <bottom style="hair">
        <color indexed="23"/>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thin">
        <color indexed="64"/>
      </left>
      <right/>
      <top style="thin">
        <color indexed="64"/>
      </top>
      <bottom/>
      <diagonal/>
    </border>
    <border>
      <left style="thin">
        <color indexed="64"/>
      </left>
      <right/>
      <top style="hair">
        <color indexed="23"/>
      </top>
      <bottom style="hair">
        <color indexed="55"/>
      </bottom>
      <diagonal/>
    </border>
    <border>
      <left/>
      <right/>
      <top style="hair">
        <color indexed="23"/>
      </top>
      <bottom style="thin">
        <color indexed="64"/>
      </bottom>
      <diagonal/>
    </border>
    <border>
      <left style="thin">
        <color indexed="64"/>
      </left>
      <right style="thin">
        <color indexed="64"/>
      </right>
      <top/>
      <bottom style="dotted">
        <color theme="0" tint="-0.14996795556505021"/>
      </bottom>
      <diagonal/>
    </border>
    <border>
      <left style="thin">
        <color indexed="64"/>
      </left>
      <right style="thin">
        <color indexed="64"/>
      </right>
      <top style="dotted">
        <color indexed="22"/>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23"/>
      </top>
      <bottom style="thin">
        <color indexed="23"/>
      </bottom>
      <diagonal/>
    </border>
    <border>
      <left style="medium">
        <color auto="1"/>
      </left>
      <right style="medium">
        <color auto="1"/>
      </right>
      <top style="medium">
        <color auto="1"/>
      </top>
      <bottom style="medium">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23"/>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s>
  <cellStyleXfs count="237">
    <xf numFmtId="0" fontId="0" fillId="0" borderId="0"/>
    <xf numFmtId="2" fontId="30" fillId="0" borderId="1" applyNumberFormat="0" applyFont="0" applyFill="0" applyBorder="0" applyAlignment="0">
      <alignment horizontal="right"/>
    </xf>
    <xf numFmtId="44" fontId="26" fillId="0" borderId="0" applyFont="0" applyFill="0" applyBorder="0" applyAlignment="0" applyProtection="0"/>
    <xf numFmtId="164" fontId="32" fillId="0" borderId="0" applyFont="0" applyFill="0" applyBorder="0" applyAlignment="0" applyProtection="0"/>
    <xf numFmtId="164" fontId="34"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164" fontId="38" fillId="0" borderId="0" applyFont="0" applyFill="0" applyBorder="0" applyAlignment="0" applyProtection="0"/>
    <xf numFmtId="164" fontId="29" fillId="0" borderId="0" applyFont="0" applyFill="0" applyBorder="0" applyAlignment="0" applyProtection="0"/>
    <xf numFmtId="164" fontId="39" fillId="0" borderId="0" applyFont="0" applyFill="0" applyBorder="0" applyAlignment="0" applyProtection="0"/>
    <xf numFmtId="164" fontId="41" fillId="0" borderId="0" applyFont="0" applyFill="0" applyBorder="0" applyAlignment="0" applyProtection="0"/>
    <xf numFmtId="164" fontId="42" fillId="0" borderId="0" applyFont="0" applyFill="0" applyBorder="0" applyAlignment="0" applyProtection="0"/>
    <xf numFmtId="164" fontId="4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0" fontId="40" fillId="0" borderId="0"/>
    <xf numFmtId="9" fontId="26"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29"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7" fillId="0" borderId="0" applyFont="0" applyFill="0" applyBorder="0" applyAlignment="0" applyProtection="0"/>
    <xf numFmtId="9" fontId="38"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9" fillId="0" borderId="0" applyFont="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9" fontId="43"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0" fontId="35"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44" fillId="0" borderId="0"/>
    <xf numFmtId="0" fontId="25" fillId="0" borderId="0"/>
    <xf numFmtId="4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4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4" fillId="0" borderId="0"/>
    <xf numFmtId="164" fontId="26"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44" fontId="23" fillId="0" borderId="0" applyFont="0" applyFill="0" applyBorder="0" applyAlignment="0" applyProtection="0"/>
    <xf numFmtId="164" fontId="26" fillId="0" borderId="0" applyFont="0" applyFill="0" applyBorder="0" applyAlignment="0" applyProtection="0"/>
    <xf numFmtId="0" fontId="26" fillId="0" borderId="0"/>
    <xf numFmtId="0" fontId="26" fillId="0" borderId="0"/>
    <xf numFmtId="0" fontId="26" fillId="0" borderId="0"/>
    <xf numFmtId="9" fontId="23" fillId="0" borderId="0" applyFont="0" applyFill="0" applyBorder="0" applyAlignment="0" applyProtection="0"/>
    <xf numFmtId="9" fontId="26" fillId="0" borderId="0" applyFont="0" applyFill="0" applyBorder="0" applyAlignment="0" applyProtection="0"/>
    <xf numFmtId="44" fontId="103" fillId="0" borderId="0" applyFont="0" applyFill="0" applyBorder="0" applyAlignment="0" applyProtection="0"/>
    <xf numFmtId="2" fontId="30" fillId="0" borderId="73" applyNumberFormat="0" applyFont="0" applyFill="0" applyBorder="0" applyAlignment="0">
      <alignment horizontal="right"/>
    </xf>
    <xf numFmtId="44" fontId="26" fillId="0" borderId="0" applyFont="0" applyFill="0" applyBorder="0" applyAlignment="0" applyProtection="0"/>
    <xf numFmtId="44" fontId="26" fillId="0" borderId="0" applyFont="0" applyFill="0" applyBorder="0" applyAlignment="0" applyProtection="0"/>
    <xf numFmtId="0" fontId="22" fillId="0" borderId="0"/>
    <xf numFmtId="0" fontId="112" fillId="0" borderId="0" applyNumberFormat="0" applyFill="0" applyBorder="0" applyAlignment="0" applyProtection="0"/>
    <xf numFmtId="0" fontId="113" fillId="0" borderId="127" applyNumberFormat="0" applyFill="0" applyAlignment="0" applyProtection="0"/>
    <xf numFmtId="0" fontId="114" fillId="0" borderId="128" applyNumberFormat="0" applyFill="0" applyAlignment="0" applyProtection="0"/>
    <xf numFmtId="0" fontId="115" fillId="0" borderId="129" applyNumberFormat="0" applyFill="0" applyAlignment="0" applyProtection="0"/>
    <xf numFmtId="0" fontId="115" fillId="0" borderId="0" applyNumberFormat="0" applyFill="0" applyBorder="0" applyAlignment="0" applyProtection="0"/>
    <xf numFmtId="0" fontId="116" fillId="21" borderId="0" applyNumberFormat="0" applyBorder="0" applyAlignment="0" applyProtection="0"/>
    <xf numFmtId="0" fontId="117" fillId="22" borderId="0" applyNumberFormat="0" applyBorder="0" applyAlignment="0" applyProtection="0"/>
    <xf numFmtId="0" fontId="118" fillId="23" borderId="0" applyNumberFormat="0" applyBorder="0" applyAlignment="0" applyProtection="0"/>
    <xf numFmtId="0" fontId="119" fillId="24" borderId="130" applyNumberFormat="0" applyAlignment="0" applyProtection="0"/>
    <xf numFmtId="0" fontId="120" fillId="25" borderId="131" applyNumberFormat="0" applyAlignment="0" applyProtection="0"/>
    <xf numFmtId="0" fontId="121" fillId="25" borderId="130" applyNumberFormat="0" applyAlignment="0" applyProtection="0"/>
    <xf numFmtId="0" fontId="122" fillId="0" borderId="132" applyNumberFormat="0" applyFill="0" applyAlignment="0" applyProtection="0"/>
    <xf numFmtId="0" fontId="104" fillId="26" borderId="133" applyNumberFormat="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45" fillId="0" borderId="135" applyNumberFormat="0" applyFill="0" applyAlignment="0" applyProtection="0"/>
    <xf numFmtId="0" fontId="49"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49" fillId="32"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49"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49"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49" fillId="44"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1" fillId="47" borderId="0" applyNumberFormat="0" applyBorder="0" applyAlignment="0" applyProtection="0"/>
    <xf numFmtId="0" fontId="49"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21" fillId="0" borderId="0"/>
    <xf numFmtId="0" fontId="21" fillId="0" borderId="0"/>
    <xf numFmtId="0" fontId="21" fillId="27" borderId="134"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0" fontId="20" fillId="0" borderId="0"/>
    <xf numFmtId="0" fontId="20"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20" fillId="0" borderId="0"/>
    <xf numFmtId="0" fontId="20" fillId="27" borderId="134" applyNumberFormat="0" applyFont="0" applyAlignment="0" applyProtection="0"/>
    <xf numFmtId="0" fontId="125" fillId="0" borderId="0" applyNumberFormat="0" applyFill="0" applyBorder="0" applyAlignment="0" applyProtection="0"/>
    <xf numFmtId="0" fontId="126" fillId="0" borderId="0"/>
    <xf numFmtId="44" fontId="26" fillId="0" borderId="0" applyFont="0" applyFill="0" applyBorder="0" applyAlignment="0" applyProtection="0"/>
    <xf numFmtId="44" fontId="26" fillId="0" borderId="0" applyFont="0" applyFill="0" applyBorder="0" applyAlignment="0" applyProtection="0"/>
    <xf numFmtId="0" fontId="19" fillId="0" borderId="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0" borderId="0"/>
    <xf numFmtId="0" fontId="19" fillId="27" borderId="134" applyNumberFormat="0" applyFont="0" applyAlignment="0" applyProtection="0"/>
    <xf numFmtId="44" fontId="26" fillId="0" borderId="0" applyFont="0" applyFill="0" applyBorder="0" applyAlignment="0" applyProtection="0"/>
    <xf numFmtId="0" fontId="18" fillId="0" borderId="0"/>
    <xf numFmtId="0" fontId="26" fillId="0" borderId="0">
      <alignment horizontal="left" wrapText="1"/>
    </xf>
    <xf numFmtId="0" fontId="17" fillId="0" borderId="0"/>
    <xf numFmtId="0" fontId="17" fillId="0" borderId="0"/>
    <xf numFmtId="0" fontId="15" fillId="0" borderId="0"/>
    <xf numFmtId="0" fontId="26" fillId="0" borderId="0"/>
    <xf numFmtId="167" fontId="26" fillId="0" borderId="0" applyFont="0" applyFill="0" applyBorder="0" applyAlignment="0" applyProtection="0"/>
    <xf numFmtId="164" fontId="15" fillId="0" borderId="0" applyFont="0" applyFill="0" applyBorder="0" applyAlignment="0" applyProtection="0"/>
    <xf numFmtId="0" fontId="26" fillId="0" borderId="0">
      <alignment horizontal="left" wrapText="1"/>
    </xf>
    <xf numFmtId="164" fontId="26" fillId="0" borderId="0" applyFont="0" applyFill="0" applyBorder="0" applyAlignment="0" applyProtection="0"/>
    <xf numFmtId="0" fontId="14" fillId="0" borderId="0"/>
    <xf numFmtId="0" fontId="26" fillId="0" borderId="0"/>
    <xf numFmtId="0" fontId="26" fillId="0" borderId="0"/>
    <xf numFmtId="0" fontId="14" fillId="0" borderId="0"/>
    <xf numFmtId="0" fontId="26" fillId="0" borderId="0"/>
    <xf numFmtId="174" fontId="14" fillId="0" borderId="0" applyFon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26"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26" fillId="0" borderId="0"/>
    <xf numFmtId="0" fontId="26" fillId="0" borderId="0"/>
    <xf numFmtId="0" fontId="167" fillId="0" borderId="0"/>
  </cellStyleXfs>
  <cellXfs count="1298">
    <xf numFmtId="0" fontId="0" fillId="0" borderId="0" xfId="0"/>
    <xf numFmtId="0" fontId="0" fillId="0" borderId="0" xfId="0" applyAlignment="1">
      <alignment horizontal="center"/>
    </xf>
    <xf numFmtId="0" fontId="28" fillId="0" borderId="0" xfId="0" applyFont="1"/>
    <xf numFmtId="164" fontId="0" fillId="0" borderId="0" xfId="0" applyNumberFormat="1"/>
    <xf numFmtId="0" fontId="26" fillId="0" borderId="0" xfId="0" applyFont="1"/>
    <xf numFmtId="4" fontId="0" fillId="0" borderId="0" xfId="0" applyNumberFormat="1"/>
    <xf numFmtId="0" fontId="0" fillId="0" borderId="24" xfId="0" applyBorder="1" applyAlignment="1">
      <alignment horizontal="center"/>
    </xf>
    <xf numFmtId="0" fontId="0" fillId="0" borderId="23" xfId="0" applyBorder="1" applyAlignment="1">
      <alignment horizontal="center"/>
    </xf>
    <xf numFmtId="0" fontId="23" fillId="0" borderId="0" xfId="97"/>
    <xf numFmtId="0" fontId="52" fillId="0" borderId="0" xfId="97" applyFont="1"/>
    <xf numFmtId="14" fontId="23" fillId="3" borderId="34" xfId="97" applyNumberFormat="1" applyFill="1" applyBorder="1" applyAlignment="1">
      <alignment horizontal="center" vertical="center"/>
    </xf>
    <xf numFmtId="0" fontId="23" fillId="5" borderId="0" xfId="97" applyFill="1"/>
    <xf numFmtId="0" fontId="53" fillId="5" borderId="0" xfId="97" applyFont="1" applyFill="1" applyAlignment="1">
      <alignment horizontal="right" vertical="center"/>
    </xf>
    <xf numFmtId="0" fontId="54" fillId="5" borderId="0" xfId="97" applyFont="1" applyFill="1"/>
    <xf numFmtId="0" fontId="54" fillId="0" borderId="0" xfId="97" applyFont="1"/>
    <xf numFmtId="0" fontId="55" fillId="0" borderId="0" xfId="97" applyFont="1" applyAlignment="1">
      <alignment horizontal="right"/>
    </xf>
    <xf numFmtId="14" fontId="53" fillId="0" borderId="0" xfId="97" applyNumberFormat="1" applyFont="1" applyAlignment="1">
      <alignment horizontal="right" vertical="center"/>
    </xf>
    <xf numFmtId="0" fontId="56" fillId="0" borderId="0" xfId="97" applyFont="1" applyAlignment="1">
      <alignment horizontal="left" indent="1"/>
    </xf>
    <xf numFmtId="0" fontId="56" fillId="0" borderId="0" xfId="97" applyFont="1"/>
    <xf numFmtId="0" fontId="57" fillId="0" borderId="0" xfId="97" applyFont="1" applyAlignment="1">
      <alignment vertical="center"/>
    </xf>
    <xf numFmtId="0" fontId="60" fillId="0" borderId="0" xfId="97" applyFont="1" applyAlignment="1">
      <alignment vertical="center"/>
    </xf>
    <xf numFmtId="0" fontId="61" fillId="0" borderId="40" xfId="97" applyFont="1" applyBorder="1" applyAlignment="1">
      <alignment horizontal="left" vertical="center"/>
    </xf>
    <xf numFmtId="0" fontId="61" fillId="0" borderId="41" xfId="97" applyFont="1" applyBorder="1" applyAlignment="1">
      <alignment horizontal="left" vertical="center"/>
    </xf>
    <xf numFmtId="0" fontId="62" fillId="0" borderId="0" xfId="97" applyFont="1"/>
    <xf numFmtId="0" fontId="30" fillId="0" borderId="0" xfId="97" applyFont="1" applyAlignment="1">
      <alignment horizontal="center" vertical="center"/>
    </xf>
    <xf numFmtId="0" fontId="45" fillId="0" borderId="33" xfId="97" applyFont="1" applyBorder="1" applyAlignment="1">
      <alignment horizontal="left" vertical="center" wrapText="1"/>
    </xf>
    <xf numFmtId="4" fontId="26" fillId="0" borderId="0" xfId="102" applyNumberFormat="1"/>
    <xf numFmtId="0" fontId="26" fillId="5" borderId="0" xfId="99" applyFont="1" applyFill="1"/>
    <xf numFmtId="4" fontId="63" fillId="0" borderId="0" xfId="102" applyNumberFormat="1" applyFont="1"/>
    <xf numFmtId="4" fontId="64" fillId="0" borderId="0" xfId="102" applyNumberFormat="1" applyFont="1"/>
    <xf numFmtId="4" fontId="65" fillId="0" borderId="0" xfId="102" applyNumberFormat="1" applyFont="1" applyAlignment="1">
      <alignment horizontal="center" vertical="center"/>
    </xf>
    <xf numFmtId="0" fontId="30" fillId="0" borderId="0" xfId="102" applyFont="1" applyAlignment="1">
      <alignment horizontal="center" vertical="center"/>
    </xf>
    <xf numFmtId="14" fontId="26" fillId="0" borderId="0" xfId="102" applyNumberFormat="1"/>
    <xf numFmtId="14" fontId="26" fillId="0" borderId="0" xfId="102" applyNumberFormat="1" applyAlignment="1">
      <alignment horizontal="center"/>
    </xf>
    <xf numFmtId="4" fontId="28" fillId="0" borderId="0" xfId="102" applyNumberFormat="1" applyFont="1" applyAlignment="1">
      <alignment horizontal="right"/>
    </xf>
    <xf numFmtId="3" fontId="26" fillId="0" borderId="0" xfId="102" applyNumberFormat="1"/>
    <xf numFmtId="4" fontId="67" fillId="0" borderId="0" xfId="102" applyNumberFormat="1" applyFont="1"/>
    <xf numFmtId="170" fontId="68" fillId="5" borderId="2" xfId="102" applyNumberFormat="1" applyFont="1" applyFill="1" applyBorder="1" applyAlignment="1">
      <alignment horizontal="center" vertical="center"/>
    </xf>
    <xf numFmtId="4" fontId="26" fillId="0" borderId="0" xfId="102" applyNumberFormat="1" applyAlignment="1">
      <alignment vertical="center"/>
    </xf>
    <xf numFmtId="4" fontId="69" fillId="0" borderId="0" xfId="102" applyNumberFormat="1" applyFont="1" applyAlignment="1">
      <alignment vertical="center"/>
    </xf>
    <xf numFmtId="4" fontId="70" fillId="0" borderId="43" xfId="102" applyNumberFormat="1" applyFont="1" applyBorder="1" applyAlignment="1">
      <alignment horizontal="left" vertical="center"/>
    </xf>
    <xf numFmtId="4" fontId="31" fillId="0" borderId="0" xfId="102" applyNumberFormat="1" applyFont="1" applyAlignment="1">
      <alignment horizontal="center" vertical="center"/>
    </xf>
    <xf numFmtId="164" fontId="31" fillId="0" borderId="0" xfId="98" applyFont="1" applyAlignment="1">
      <alignment horizontal="center" vertical="center"/>
    </xf>
    <xf numFmtId="164" fontId="71" fillId="0" borderId="0" xfId="98" applyFont="1" applyAlignment="1">
      <alignment horizontal="center" vertical="center"/>
    </xf>
    <xf numFmtId="4" fontId="70" fillId="0" borderId="30" xfId="102" applyNumberFormat="1" applyFont="1" applyBorder="1" applyAlignment="1">
      <alignment horizontal="left" vertical="center" indent="3"/>
    </xf>
    <xf numFmtId="4" fontId="72" fillId="0" borderId="0" xfId="102" applyNumberFormat="1" applyFont="1" applyAlignment="1">
      <alignment horizontal="center"/>
    </xf>
    <xf numFmtId="4" fontId="26" fillId="0" borderId="0" xfId="102" applyNumberFormat="1" applyAlignment="1">
      <alignment horizontal="center"/>
    </xf>
    <xf numFmtId="164" fontId="27" fillId="0" borderId="0" xfId="98" applyFont="1" applyAlignment="1">
      <alignment horizontal="center"/>
    </xf>
    <xf numFmtId="164" fontId="27" fillId="0" borderId="0" xfId="98" applyFont="1" applyBorder="1" applyAlignment="1">
      <alignment horizontal="center"/>
    </xf>
    <xf numFmtId="164" fontId="71" fillId="0" borderId="0" xfId="98" applyFont="1" applyAlignment="1">
      <alignment horizontal="center"/>
    </xf>
    <xf numFmtId="3" fontId="73" fillId="0" borderId="0" xfId="102" applyNumberFormat="1" applyFont="1" applyAlignment="1">
      <alignment horizontal="center"/>
    </xf>
    <xf numFmtId="164" fontId="26" fillId="0" borderId="0" xfId="98" applyFont="1"/>
    <xf numFmtId="4" fontId="0" fillId="0" borderId="0" xfId="102" applyNumberFormat="1" applyFont="1" applyAlignment="1">
      <alignment vertical="center"/>
    </xf>
    <xf numFmtId="164" fontId="70" fillId="0" borderId="0" xfId="98" applyFont="1" applyAlignment="1">
      <alignment horizontal="center" vertical="center"/>
    </xf>
    <xf numFmtId="164" fontId="28" fillId="0" borderId="0" xfId="98" applyFont="1" applyAlignment="1">
      <alignment horizontal="center" vertical="center"/>
    </xf>
    <xf numFmtId="4" fontId="47" fillId="0" borderId="0" xfId="102" applyNumberFormat="1" applyFont="1" applyAlignment="1">
      <alignment horizontal="left"/>
    </xf>
    <xf numFmtId="4" fontId="0" fillId="0" borderId="0" xfId="102" applyNumberFormat="1" applyFont="1"/>
    <xf numFmtId="164" fontId="0" fillId="0" borderId="0" xfId="98" applyFont="1"/>
    <xf numFmtId="4" fontId="74" fillId="0" borderId="0" xfId="104" applyNumberFormat="1" applyFont="1"/>
    <xf numFmtId="4" fontId="28" fillId="0" borderId="0" xfId="104" applyNumberFormat="1" applyFont="1"/>
    <xf numFmtId="164" fontId="31" fillId="0" borderId="0" xfId="98" applyFont="1" applyAlignment="1">
      <alignment horizontal="center"/>
    </xf>
    <xf numFmtId="164" fontId="75" fillId="0" borderId="0" xfId="98" applyFont="1" applyAlignment="1">
      <alignment horizontal="center"/>
    </xf>
    <xf numFmtId="4" fontId="0" fillId="0" borderId="0" xfId="104" applyNumberFormat="1" applyFont="1"/>
    <xf numFmtId="4" fontId="70" fillId="0" borderId="30" xfId="102" applyNumberFormat="1" applyFont="1" applyBorder="1" applyAlignment="1">
      <alignment horizontal="left" vertical="center"/>
    </xf>
    <xf numFmtId="4" fontId="70" fillId="0" borderId="44" xfId="102" applyNumberFormat="1" applyFont="1" applyBorder="1" applyAlignment="1">
      <alignment horizontal="left" vertical="center"/>
    </xf>
    <xf numFmtId="164" fontId="31" fillId="3" borderId="44" xfId="98" applyFont="1" applyFill="1" applyBorder="1" applyAlignment="1">
      <alignment horizontal="center"/>
    </xf>
    <xf numFmtId="4" fontId="0" fillId="0" borderId="0" xfId="102" applyNumberFormat="1" applyFont="1" applyAlignment="1">
      <alignment horizontal="right"/>
    </xf>
    <xf numFmtId="164" fontId="76" fillId="0" borderId="0" xfId="98" applyFont="1"/>
    <xf numFmtId="164" fontId="76" fillId="0" borderId="0" xfId="98" applyFont="1" applyAlignment="1">
      <alignment horizontal="center"/>
    </xf>
    <xf numFmtId="164" fontId="76" fillId="0" borderId="0" xfId="98" applyFont="1" applyFill="1" applyAlignment="1">
      <alignment horizontal="center"/>
    </xf>
    <xf numFmtId="164" fontId="77" fillId="0" borderId="0" xfId="98" applyFont="1" applyAlignment="1">
      <alignment horizontal="center" vertical="center"/>
    </xf>
    <xf numFmtId="164" fontId="76" fillId="0" borderId="0" xfId="98" applyFont="1" applyAlignment="1">
      <alignment vertical="center"/>
    </xf>
    <xf numFmtId="4" fontId="47" fillId="0" borderId="0" xfId="102" applyNumberFormat="1" applyFont="1"/>
    <xf numFmtId="164" fontId="46" fillId="0" borderId="0" xfId="98" applyFont="1" applyAlignment="1">
      <alignment horizontal="center"/>
    </xf>
    <xf numFmtId="4" fontId="70" fillId="0" borderId="0" xfId="102" applyNumberFormat="1" applyFont="1" applyAlignment="1">
      <alignment horizontal="left" vertical="center" indent="3"/>
    </xf>
    <xf numFmtId="4" fontId="70" fillId="0" borderId="0" xfId="102" applyNumberFormat="1" applyFont="1" applyAlignment="1">
      <alignment horizontal="left" vertical="center"/>
    </xf>
    <xf numFmtId="164" fontId="78" fillId="0" borderId="0" xfId="98" applyFont="1" applyAlignment="1">
      <alignment horizontal="center" vertical="center"/>
    </xf>
    <xf numFmtId="4" fontId="79" fillId="0" borderId="0" xfId="102" applyNumberFormat="1" applyFont="1" applyAlignment="1">
      <alignment horizontal="center" vertical="center"/>
    </xf>
    <xf numFmtId="4" fontId="0" fillId="0" borderId="0" xfId="102" applyNumberFormat="1" applyFont="1" applyAlignment="1">
      <alignment horizontal="center"/>
    </xf>
    <xf numFmtId="10" fontId="26" fillId="0" borderId="0" xfId="106" applyNumberFormat="1" applyFill="1" applyAlignment="1">
      <alignment horizontal="center"/>
    </xf>
    <xf numFmtId="164" fontId="31" fillId="3" borderId="30" xfId="106" applyNumberFormat="1" applyFont="1" applyFill="1" applyBorder="1" applyAlignment="1">
      <alignment horizontal="center"/>
    </xf>
    <xf numFmtId="10" fontId="73" fillId="0" borderId="0" xfId="106" applyNumberFormat="1" applyFont="1" applyFill="1" applyAlignment="1">
      <alignment horizontal="center"/>
    </xf>
    <xf numFmtId="10" fontId="26" fillId="0" borderId="0" xfId="106" applyNumberFormat="1" applyFont="1" applyFill="1" applyAlignment="1">
      <alignment horizontal="center"/>
    </xf>
    <xf numFmtId="164" fontId="46" fillId="3" borderId="44" xfId="102" applyNumberFormat="1" applyFont="1" applyFill="1" applyBorder="1"/>
    <xf numFmtId="4" fontId="73" fillId="0" borderId="0" xfId="102" applyNumberFormat="1" applyFont="1"/>
    <xf numFmtId="168" fontId="26" fillId="0" borderId="0" xfId="106" applyNumberFormat="1" applyFont="1"/>
    <xf numFmtId="10" fontId="26" fillId="0" borderId="0" xfId="106" applyNumberFormat="1" applyFont="1"/>
    <xf numFmtId="14" fontId="80" fillId="0" borderId="0" xfId="102" applyNumberFormat="1" applyFont="1"/>
    <xf numFmtId="168" fontId="80" fillId="0" borderId="0" xfId="106" applyNumberFormat="1" applyFont="1"/>
    <xf numFmtId="10" fontId="80" fillId="0" borderId="0" xfId="106" applyNumberFormat="1" applyFont="1"/>
    <xf numFmtId="4" fontId="80" fillId="0" borderId="0" xfId="102" applyNumberFormat="1" applyFont="1"/>
    <xf numFmtId="14" fontId="80" fillId="0" borderId="0" xfId="102" applyNumberFormat="1" applyFont="1" applyAlignment="1">
      <alignment horizontal="center" vertical="center"/>
    </xf>
    <xf numFmtId="168" fontId="80" fillId="0" borderId="0" xfId="106" applyNumberFormat="1" applyFont="1" applyAlignment="1">
      <alignment horizontal="center" vertical="center"/>
    </xf>
    <xf numFmtId="10" fontId="80" fillId="0" borderId="0" xfId="106" applyNumberFormat="1" applyFont="1" applyAlignment="1">
      <alignment horizontal="center" vertical="center"/>
    </xf>
    <xf numFmtId="4" fontId="80" fillId="0" borderId="0" xfId="102" applyNumberFormat="1" applyFont="1" applyAlignment="1">
      <alignment horizontal="center" vertical="center"/>
    </xf>
    <xf numFmtId="4" fontId="0" fillId="0" borderId="0" xfId="102" applyNumberFormat="1" applyFont="1" applyAlignment="1">
      <alignment horizontal="center" vertical="center"/>
    </xf>
    <xf numFmtId="168" fontId="80" fillId="0" borderId="0" xfId="102" applyNumberFormat="1" applyFont="1" applyAlignment="1">
      <alignment horizontal="center" vertical="center"/>
    </xf>
    <xf numFmtId="4" fontId="72" fillId="0" borderId="0" xfId="102" applyNumberFormat="1" applyFont="1"/>
    <xf numFmtId="4" fontId="26" fillId="2" borderId="0" xfId="102" applyNumberFormat="1" applyFill="1"/>
    <xf numFmtId="14" fontId="26" fillId="2" borderId="0" xfId="102" applyNumberFormat="1" applyFill="1"/>
    <xf numFmtId="4" fontId="26" fillId="0" borderId="0" xfId="102" applyNumberFormat="1" applyAlignment="1">
      <alignment horizontal="center" vertical="center"/>
    </xf>
    <xf numFmtId="14" fontId="28" fillId="0" borderId="33" xfId="103" applyNumberFormat="1" applyFont="1" applyBorder="1" applyAlignment="1">
      <alignment vertical="center"/>
    </xf>
    <xf numFmtId="4" fontId="70" fillId="0" borderId="47" xfId="102" applyNumberFormat="1" applyFont="1" applyBorder="1" applyAlignment="1">
      <alignment horizontal="left" vertical="center"/>
    </xf>
    <xf numFmtId="164" fontId="31" fillId="3" borderId="47" xfId="106" applyNumberFormat="1" applyFont="1" applyFill="1" applyBorder="1" applyAlignment="1">
      <alignment horizontal="center"/>
    </xf>
    <xf numFmtId="0" fontId="28" fillId="0" borderId="0" xfId="103" applyFont="1" applyAlignment="1">
      <alignment vertical="center"/>
    </xf>
    <xf numFmtId="0" fontId="23" fillId="0" borderId="0" xfId="99"/>
    <xf numFmtId="0" fontId="26" fillId="5" borderId="0" xfId="103" applyFill="1"/>
    <xf numFmtId="0" fontId="26" fillId="5" borderId="0" xfId="103" applyFill="1" applyAlignment="1">
      <alignment horizontal="left" vertical="center" indent="1"/>
    </xf>
    <xf numFmtId="14" fontId="28" fillId="5" borderId="0" xfId="103" applyNumberFormat="1" applyFont="1" applyFill="1" applyAlignment="1">
      <alignment horizontal="center" vertical="center"/>
    </xf>
    <xf numFmtId="4" fontId="53" fillId="0" borderId="0" xfId="103" applyNumberFormat="1" applyFont="1"/>
    <xf numFmtId="0" fontId="26" fillId="0" borderId="0" xfId="103" applyAlignment="1">
      <alignment vertical="center"/>
    </xf>
    <xf numFmtId="0" fontId="83" fillId="4" borderId="2" xfId="103" applyFont="1" applyFill="1" applyBorder="1" applyAlignment="1">
      <alignment horizontal="center" vertical="center"/>
    </xf>
    <xf numFmtId="0" fontId="28" fillId="0" borderId="0" xfId="103" applyFont="1"/>
    <xf numFmtId="49" fontId="74" fillId="13" borderId="16" xfId="103" applyNumberFormat="1" applyFont="1" applyFill="1" applyBorder="1" applyAlignment="1">
      <alignment horizontal="center" vertical="center"/>
    </xf>
    <xf numFmtId="0" fontId="85" fillId="11" borderId="48" xfId="103" applyFont="1" applyFill="1" applyBorder="1" applyAlignment="1">
      <alignment horizontal="center" vertical="center"/>
    </xf>
    <xf numFmtId="49" fontId="74" fillId="11" borderId="48" xfId="103" applyNumberFormat="1" applyFont="1" applyFill="1" applyBorder="1" applyAlignment="1">
      <alignment horizontal="center" vertical="center"/>
    </xf>
    <xf numFmtId="0" fontId="88" fillId="11" borderId="48" xfId="103" applyFont="1" applyFill="1" applyBorder="1" applyAlignment="1">
      <alignment horizontal="center" vertical="center"/>
    </xf>
    <xf numFmtId="0" fontId="28" fillId="0" borderId="0" xfId="0" applyFont="1" applyAlignment="1">
      <alignment vertical="center"/>
    </xf>
    <xf numFmtId="0" fontId="26" fillId="5" borderId="0" xfId="0" applyFont="1" applyFill="1"/>
    <xf numFmtId="0" fontId="101" fillId="5" borderId="0" xfId="0" applyFont="1" applyFill="1"/>
    <xf numFmtId="4" fontId="100" fillId="5" borderId="0" xfId="0" applyNumberFormat="1" applyFont="1" applyFill="1" applyAlignment="1">
      <alignment vertical="center"/>
    </xf>
    <xf numFmtId="0" fontId="48" fillId="0" borderId="0" xfId="0" applyFont="1" applyAlignment="1">
      <alignment vertical="center"/>
    </xf>
    <xf numFmtId="0" fontId="48" fillId="0" borderId="83" xfId="0" applyFont="1" applyBorder="1"/>
    <xf numFmtId="0" fontId="48" fillId="0" borderId="85" xfId="0" applyFont="1" applyBorder="1" applyAlignment="1">
      <alignment vertical="center"/>
    </xf>
    <xf numFmtId="0" fontId="102" fillId="0" borderId="0" xfId="0" applyFont="1" applyAlignment="1">
      <alignment vertical="center"/>
    </xf>
    <xf numFmtId="0" fontId="30" fillId="0" borderId="0" xfId="0" applyFont="1" applyAlignment="1">
      <alignment vertical="center"/>
    </xf>
    <xf numFmtId="0" fontId="102" fillId="0" borderId="90" xfId="0" applyFont="1" applyBorder="1" applyAlignment="1">
      <alignment horizontal="left" vertical="center"/>
    </xf>
    <xf numFmtId="0" fontId="0" fillId="0" borderId="91" xfId="0" applyBorder="1"/>
    <xf numFmtId="0" fontId="102" fillId="0" borderId="18" xfId="0" applyFont="1" applyBorder="1" applyAlignment="1">
      <alignment vertical="center"/>
    </xf>
    <xf numFmtId="0" fontId="56" fillId="5" borderId="73" xfId="0" applyFont="1" applyFill="1" applyBorder="1" applyAlignment="1">
      <alignment vertical="center"/>
    </xf>
    <xf numFmtId="0" fontId="30" fillId="5" borderId="74" xfId="0" applyFont="1" applyFill="1" applyBorder="1" applyAlignment="1">
      <alignment vertical="center"/>
    </xf>
    <xf numFmtId="0" fontId="48" fillId="0" borderId="96" xfId="0" applyFont="1" applyBorder="1" applyAlignment="1">
      <alignment vertical="center"/>
    </xf>
    <xf numFmtId="0" fontId="102" fillId="0" borderId="97" xfId="0" applyFont="1" applyBorder="1" applyAlignment="1">
      <alignment horizontal="left" vertical="center"/>
    </xf>
    <xf numFmtId="0" fontId="48" fillId="0" borderId="98" xfId="0" applyFont="1" applyBorder="1" applyAlignment="1">
      <alignment vertical="center"/>
    </xf>
    <xf numFmtId="167" fontId="26" fillId="0" borderId="99" xfId="0" applyNumberFormat="1" applyFont="1" applyBorder="1" applyAlignment="1">
      <alignment horizontal="right" vertical="center" indent="1"/>
    </xf>
    <xf numFmtId="0" fontId="48" fillId="0" borderId="100" xfId="0" applyFont="1" applyBorder="1" applyAlignment="1">
      <alignment vertical="center"/>
    </xf>
    <xf numFmtId="167" fontId="26" fillId="0" borderId="101" xfId="0" applyNumberFormat="1" applyFont="1" applyBorder="1" applyAlignment="1">
      <alignment horizontal="right" vertical="center" indent="1"/>
    </xf>
    <xf numFmtId="0" fontId="48" fillId="0" borderId="102" xfId="0" applyFont="1" applyBorder="1" applyAlignment="1">
      <alignment vertical="center"/>
    </xf>
    <xf numFmtId="0" fontId="48" fillId="0" borderId="103" xfId="0" applyFont="1" applyBorder="1" applyAlignment="1">
      <alignment vertical="center"/>
    </xf>
    <xf numFmtId="0" fontId="102" fillId="0" borderId="104" xfId="0" applyFont="1" applyBorder="1" applyAlignment="1">
      <alignment horizontal="left" vertical="center"/>
    </xf>
    <xf numFmtId="0" fontId="102" fillId="0" borderId="105" xfId="0" applyFont="1" applyBorder="1" applyAlignment="1">
      <alignment vertical="center"/>
    </xf>
    <xf numFmtId="167" fontId="26" fillId="0" borderId="106" xfId="0" applyNumberFormat="1" applyFont="1" applyBorder="1" applyAlignment="1">
      <alignment horizontal="right" vertical="center" indent="1"/>
    </xf>
    <xf numFmtId="0" fontId="30" fillId="5" borderId="57" xfId="0" applyFont="1" applyFill="1" applyBorder="1" applyAlignment="1">
      <alignment vertical="center"/>
    </xf>
    <xf numFmtId="0" fontId="30" fillId="5" borderId="58" xfId="0" applyFont="1" applyFill="1" applyBorder="1" applyAlignment="1">
      <alignment vertical="center"/>
    </xf>
    <xf numFmtId="14" fontId="28" fillId="0" borderId="0" xfId="103" applyNumberFormat="1" applyFont="1" applyAlignment="1">
      <alignment vertical="center"/>
    </xf>
    <xf numFmtId="0" fontId="0" fillId="0" borderId="6" xfId="0" applyBorder="1" applyAlignment="1">
      <alignment horizontal="center"/>
    </xf>
    <xf numFmtId="0" fontId="26" fillId="0" borderId="15" xfId="0" applyFont="1" applyBorder="1" applyAlignment="1">
      <alignment horizontal="center" vertical="center"/>
    </xf>
    <xf numFmtId="0" fontId="26" fillId="0" borderId="22" xfId="0" applyFont="1" applyBorder="1" applyAlignment="1">
      <alignment horizontal="center" vertical="center"/>
    </xf>
    <xf numFmtId="0" fontId="26" fillId="2" borderId="0" xfId="99" applyFont="1" applyFill="1"/>
    <xf numFmtId="0" fontId="91" fillId="0" borderId="0" xfId="0" applyFont="1"/>
    <xf numFmtId="0" fontId="91" fillId="0" borderId="0" xfId="0" applyFont="1" applyAlignment="1">
      <alignment horizontal="right"/>
    </xf>
    <xf numFmtId="0" fontId="0" fillId="0" borderId="108" xfId="0" quotePrefix="1" applyBorder="1" applyAlignment="1">
      <alignment horizontal="center" vertical="center"/>
    </xf>
    <xf numFmtId="0" fontId="0" fillId="0" borderId="109" xfId="0" quotePrefix="1" applyBorder="1" applyAlignment="1">
      <alignment horizontal="center" vertical="center"/>
    </xf>
    <xf numFmtId="4" fontId="91" fillId="0" borderId="33" xfId="0" applyNumberFormat="1" applyFont="1" applyBorder="1" applyAlignment="1">
      <alignment horizontal="right" vertical="center" wrapText="1"/>
    </xf>
    <xf numFmtId="4" fontId="91" fillId="0" borderId="55" xfId="0" applyNumberFormat="1" applyFont="1" applyBorder="1" applyAlignment="1">
      <alignment horizontal="center" vertical="center" wrapText="1"/>
    </xf>
    <xf numFmtId="4" fontId="91" fillId="3" borderId="111" xfId="0" applyNumberFormat="1" applyFont="1" applyFill="1" applyBorder="1" applyAlignment="1">
      <alignment horizontal="center" vertical="center" wrapText="1"/>
    </xf>
    <xf numFmtId="0" fontId="50" fillId="9" borderId="58" xfId="103" applyFont="1" applyFill="1" applyBorder="1" applyAlignment="1">
      <alignment vertical="center"/>
    </xf>
    <xf numFmtId="167" fontId="0" fillId="0" borderId="0" xfId="0" applyNumberFormat="1"/>
    <xf numFmtId="164" fontId="48" fillId="0" borderId="0" xfId="0" applyNumberFormat="1" applyFont="1" applyAlignment="1">
      <alignment vertical="center"/>
    </xf>
    <xf numFmtId="164" fontId="31" fillId="3" borderId="30" xfId="98" applyFont="1" applyFill="1" applyBorder="1" applyAlignment="1">
      <alignment horizontal="center"/>
    </xf>
    <xf numFmtId="164" fontId="23" fillId="0" borderId="0" xfId="99" applyNumberFormat="1"/>
    <xf numFmtId="4" fontId="77" fillId="0" borderId="119" xfId="102" applyNumberFormat="1" applyFont="1" applyBorder="1" applyAlignment="1">
      <alignment horizontal="left" vertical="center" indent="1"/>
    </xf>
    <xf numFmtId="4" fontId="77" fillId="0" borderId="30" xfId="102" applyNumberFormat="1" applyFont="1" applyBorder="1" applyAlignment="1">
      <alignment horizontal="left" vertical="center" indent="1"/>
    </xf>
    <xf numFmtId="4" fontId="77" fillId="0" borderId="118" xfId="102" applyNumberFormat="1" applyFont="1" applyBorder="1" applyAlignment="1">
      <alignment horizontal="left" vertical="center" indent="1"/>
    </xf>
    <xf numFmtId="4" fontId="77" fillId="0" borderId="44" xfId="102" applyNumberFormat="1" applyFont="1" applyBorder="1" applyAlignment="1">
      <alignment horizontal="left" vertical="center" indent="1"/>
    </xf>
    <xf numFmtId="4" fontId="26" fillId="0" borderId="33" xfId="102" applyNumberFormat="1" applyBorder="1" applyAlignment="1">
      <alignment horizontal="center"/>
    </xf>
    <xf numFmtId="4" fontId="69" fillId="0" borderId="0" xfId="102" applyNumberFormat="1" applyFont="1" applyAlignment="1">
      <alignment horizontal="center" vertical="center"/>
    </xf>
    <xf numFmtId="0" fontId="23" fillId="0" borderId="0" xfId="99" applyAlignment="1">
      <alignment horizontal="center" vertical="center"/>
    </xf>
    <xf numFmtId="0" fontId="61" fillId="0" borderId="40" xfId="97" applyFont="1" applyBorder="1" applyAlignment="1">
      <alignment vertical="center" wrapText="1"/>
    </xf>
    <xf numFmtId="0" fontId="61" fillId="0" borderId="41" xfId="97" applyFont="1" applyBorder="1" applyAlignment="1">
      <alignment vertical="center" wrapText="1"/>
    </xf>
    <xf numFmtId="0" fontId="57" fillId="0" borderId="0" xfId="97" applyFont="1" applyAlignment="1">
      <alignment horizontal="left" vertical="center" indent="2"/>
    </xf>
    <xf numFmtId="0" fontId="58" fillId="0" borderId="0" xfId="97" applyFont="1" applyAlignment="1">
      <alignment horizontal="left" indent="2"/>
    </xf>
    <xf numFmtId="0" fontId="80" fillId="0" borderId="0" xfId="0" applyFont="1"/>
    <xf numFmtId="0" fontId="61" fillId="0" borderId="40" xfId="97" applyFont="1" applyBorder="1" applyAlignment="1">
      <alignment vertical="center"/>
    </xf>
    <xf numFmtId="0" fontId="61" fillId="0" borderId="41" xfId="97" applyFont="1" applyBorder="1" applyAlignment="1">
      <alignment vertical="center"/>
    </xf>
    <xf numFmtId="164" fontId="27" fillId="0" borderId="0" xfId="98" applyFont="1"/>
    <xf numFmtId="10" fontId="27" fillId="0" borderId="0" xfId="106" applyNumberFormat="1" applyFont="1" applyFill="1" applyAlignment="1">
      <alignment horizontal="center"/>
    </xf>
    <xf numFmtId="4" fontId="27" fillId="0" borderId="0" xfId="102" applyNumberFormat="1" applyFont="1"/>
    <xf numFmtId="164" fontId="71" fillId="3" borderId="45" xfId="98" applyFont="1" applyFill="1" applyBorder="1" applyAlignment="1">
      <alignment horizontal="center" vertical="center"/>
    </xf>
    <xf numFmtId="164" fontId="31" fillId="10" borderId="33" xfId="98" applyFont="1" applyFill="1" applyBorder="1" applyAlignment="1">
      <alignment horizontal="center"/>
    </xf>
    <xf numFmtId="0" fontId="80" fillId="5" borderId="0" xfId="99" applyFont="1" applyFill="1"/>
    <xf numFmtId="4" fontId="91" fillId="0" borderId="123" xfId="0" applyNumberFormat="1" applyFont="1" applyBorder="1" applyAlignment="1">
      <alignment horizontal="center" vertical="center" wrapText="1"/>
    </xf>
    <xf numFmtId="4" fontId="91" fillId="3" borderId="112" xfId="0" applyNumberFormat="1" applyFont="1" applyFill="1" applyBorder="1" applyAlignment="1">
      <alignment horizontal="center" vertical="center" wrapText="1"/>
    </xf>
    <xf numFmtId="4" fontId="85" fillId="3" borderId="48" xfId="103" applyNumberFormat="1" applyFont="1" applyFill="1" applyBorder="1" applyAlignment="1">
      <alignment horizontal="right" vertical="center" indent="1"/>
    </xf>
    <xf numFmtId="167" fontId="87" fillId="3" borderId="48" xfId="103" applyNumberFormat="1" applyFont="1" applyFill="1" applyBorder="1" applyAlignment="1">
      <alignment horizontal="right" vertical="center" indent="1"/>
    </xf>
    <xf numFmtId="4" fontId="88" fillId="3" borderId="48" xfId="103" applyNumberFormat="1" applyFont="1" applyFill="1" applyBorder="1" applyAlignment="1">
      <alignment horizontal="right" vertical="center" indent="1"/>
    </xf>
    <xf numFmtId="167" fontId="94" fillId="4" borderId="2" xfId="103" applyNumberFormat="1" applyFont="1" applyFill="1" applyBorder="1" applyAlignment="1">
      <alignment horizontal="right" vertical="center" indent="1"/>
    </xf>
    <xf numFmtId="167" fontId="84" fillId="4" borderId="2" xfId="103" applyNumberFormat="1" applyFont="1" applyFill="1" applyBorder="1" applyAlignment="1">
      <alignment horizontal="right" vertical="center" indent="1"/>
    </xf>
    <xf numFmtId="0" fontId="26" fillId="4" borderId="19" xfId="103" applyFill="1" applyBorder="1"/>
    <xf numFmtId="0" fontId="26" fillId="4" borderId="23" xfId="103" applyFill="1" applyBorder="1" applyAlignment="1">
      <alignment vertical="center"/>
    </xf>
    <xf numFmtId="0" fontId="26" fillId="4" borderId="23" xfId="103" applyFill="1" applyBorder="1"/>
    <xf numFmtId="0" fontId="28" fillId="4" borderId="23" xfId="103" applyFont="1" applyFill="1" applyBorder="1"/>
    <xf numFmtId="0" fontId="26" fillId="4" borderId="15" xfId="103" applyFill="1" applyBorder="1"/>
    <xf numFmtId="0" fontId="28" fillId="4" borderId="0" xfId="103" applyFont="1" applyFill="1" applyAlignment="1">
      <alignment vertical="center"/>
    </xf>
    <xf numFmtId="0" fontId="28" fillId="4" borderId="0" xfId="103" applyFont="1" applyFill="1"/>
    <xf numFmtId="0" fontId="26" fillId="4" borderId="12" xfId="103" applyFill="1" applyBorder="1"/>
    <xf numFmtId="0" fontId="74" fillId="4" borderId="12" xfId="103" applyFont="1" applyFill="1" applyBorder="1" applyAlignment="1">
      <alignment horizontal="center" vertical="center"/>
    </xf>
    <xf numFmtId="0" fontId="85" fillId="4" borderId="12" xfId="103" applyFont="1" applyFill="1" applyBorder="1" applyAlignment="1">
      <alignment horizontal="center" vertical="center"/>
    </xf>
    <xf numFmtId="0" fontId="90" fillId="4" borderId="12" xfId="103" applyFont="1" applyFill="1" applyBorder="1" applyAlignment="1">
      <alignment horizontal="left" vertical="center" indent="1"/>
    </xf>
    <xf numFmtId="0" fontId="53" fillId="4" borderId="12" xfId="103" applyFont="1" applyFill="1" applyBorder="1"/>
    <xf numFmtId="0" fontId="26" fillId="4" borderId="29" xfId="103" applyFill="1" applyBorder="1"/>
    <xf numFmtId="0" fontId="51" fillId="4" borderId="20" xfId="103" applyFont="1" applyFill="1" applyBorder="1" applyAlignment="1">
      <alignment horizontal="center" vertical="center"/>
    </xf>
    <xf numFmtId="0" fontId="26" fillId="4" borderId="28" xfId="103" applyFill="1" applyBorder="1" applyAlignment="1">
      <alignment vertical="center"/>
    </xf>
    <xf numFmtId="0" fontId="28" fillId="4" borderId="28" xfId="103" applyFont="1" applyFill="1" applyBorder="1" applyAlignment="1">
      <alignment vertical="center"/>
    </xf>
    <xf numFmtId="0" fontId="26" fillId="4" borderId="28" xfId="103" applyFill="1" applyBorder="1"/>
    <xf numFmtId="0" fontId="28" fillId="4" borderId="28" xfId="103" applyFont="1" applyFill="1" applyBorder="1"/>
    <xf numFmtId="0" fontId="51" fillId="4" borderId="21" xfId="103" applyFont="1" applyFill="1" applyBorder="1" applyAlignment="1">
      <alignment horizontal="center" vertical="center"/>
    </xf>
    <xf numFmtId="4" fontId="66" fillId="16" borderId="31" xfId="102" applyNumberFormat="1" applyFont="1" applyFill="1" applyBorder="1" applyAlignment="1">
      <alignment vertical="center"/>
    </xf>
    <xf numFmtId="4" fontId="66" fillId="16" borderId="31" xfId="102" applyNumberFormat="1" applyFont="1" applyFill="1" applyBorder="1" applyAlignment="1">
      <alignment horizontal="left" vertical="center"/>
    </xf>
    <xf numFmtId="4" fontId="28" fillId="10" borderId="47" xfId="102" applyNumberFormat="1" applyFont="1" applyFill="1" applyBorder="1" applyAlignment="1">
      <alignment horizontal="left" vertical="center"/>
    </xf>
    <xf numFmtId="4" fontId="28" fillId="10" borderId="30" xfId="102" applyNumberFormat="1" applyFont="1" applyFill="1" applyBorder="1" applyAlignment="1">
      <alignment horizontal="left" vertical="center"/>
    </xf>
    <xf numFmtId="4" fontId="28" fillId="10" borderId="44" xfId="102" applyNumberFormat="1" applyFont="1" applyFill="1" applyBorder="1" applyAlignment="1">
      <alignment horizontal="left" vertical="center"/>
    </xf>
    <xf numFmtId="4" fontId="28" fillId="10" borderId="45" xfId="102" applyNumberFormat="1" applyFont="1" applyFill="1" applyBorder="1" applyAlignment="1">
      <alignment horizontal="left" vertical="center"/>
    </xf>
    <xf numFmtId="4" fontId="28" fillId="10" borderId="120" xfId="102" applyNumberFormat="1" applyFont="1" applyFill="1" applyBorder="1" applyAlignment="1">
      <alignment horizontal="left" vertical="center"/>
    </xf>
    <xf numFmtId="4" fontId="26" fillId="5" borderId="0" xfId="99" applyNumberFormat="1" applyFont="1" applyFill="1"/>
    <xf numFmtId="14" fontId="0" fillId="0" borderId="0" xfId="0" applyNumberFormat="1"/>
    <xf numFmtId="14" fontId="28" fillId="18" borderId="33" xfId="103" applyNumberFormat="1" applyFont="1" applyFill="1" applyBorder="1" applyAlignment="1">
      <alignment vertical="center"/>
    </xf>
    <xf numFmtId="14" fontId="26" fillId="5" borderId="0" xfId="99" applyNumberFormat="1" applyFont="1" applyFill="1"/>
    <xf numFmtId="0" fontId="48" fillId="0" borderId="0" xfId="0" applyFont="1" applyAlignment="1">
      <alignment horizontal="left" vertical="center"/>
    </xf>
    <xf numFmtId="0" fontId="45" fillId="0" borderId="0" xfId="0" applyFont="1" applyAlignment="1">
      <alignment horizontal="left" vertical="center"/>
    </xf>
    <xf numFmtId="4" fontId="48" fillId="0" borderId="0" xfId="102" applyNumberFormat="1" applyFont="1" applyAlignment="1">
      <alignment horizontal="left" vertical="center"/>
    </xf>
    <xf numFmtId="0" fontId="110" fillId="0" borderId="0" xfId="0" applyFont="1"/>
    <xf numFmtId="14" fontId="0" fillId="20" borderId="0" xfId="0" applyNumberFormat="1" applyFill="1" applyAlignment="1">
      <alignment horizontal="left"/>
    </xf>
    <xf numFmtId="14" fontId="0" fillId="20" borderId="0" xfId="0" applyNumberFormat="1" applyFill="1"/>
    <xf numFmtId="49" fontId="108" fillId="20" borderId="0" xfId="0" applyNumberFormat="1" applyFont="1" applyFill="1"/>
    <xf numFmtId="49" fontId="109" fillId="20" borderId="0" xfId="0" applyNumberFormat="1" applyFont="1" applyFill="1"/>
    <xf numFmtId="44" fontId="26" fillId="20" borderId="0" xfId="107" applyFont="1" applyFill="1"/>
    <xf numFmtId="14" fontId="0" fillId="19" borderId="0" xfId="0" applyNumberFormat="1" applyFill="1" applyAlignment="1">
      <alignment horizontal="left"/>
    </xf>
    <xf numFmtId="14" fontId="0" fillId="19" borderId="0" xfId="0" applyNumberFormat="1" applyFill="1"/>
    <xf numFmtId="49" fontId="108" fillId="19" borderId="0" xfId="0" applyNumberFormat="1" applyFont="1" applyFill="1"/>
    <xf numFmtId="49" fontId="109" fillId="19" borderId="0" xfId="0" applyNumberFormat="1" applyFont="1" applyFill="1"/>
    <xf numFmtId="44" fontId="26" fillId="19" borderId="0" xfId="107" applyFont="1" applyFill="1"/>
    <xf numFmtId="14" fontId="0" fillId="5" borderId="0" xfId="0" applyNumberFormat="1" applyFill="1" applyAlignment="1">
      <alignment horizontal="left"/>
    </xf>
    <xf numFmtId="14" fontId="0" fillId="5" borderId="0" xfId="0" applyNumberFormat="1" applyFill="1"/>
    <xf numFmtId="49" fontId="108" fillId="5" borderId="0" xfId="0" applyNumberFormat="1" applyFont="1" applyFill="1"/>
    <xf numFmtId="49" fontId="109" fillId="5" borderId="0" xfId="0" applyNumberFormat="1" applyFont="1" applyFill="1"/>
    <xf numFmtId="44" fontId="26" fillId="5" borderId="0" xfId="107" applyFont="1" applyFill="1"/>
    <xf numFmtId="4" fontId="26" fillId="19" borderId="0" xfId="102" applyNumberFormat="1" applyFill="1"/>
    <xf numFmtId="4" fontId="26" fillId="20" borderId="0" xfId="102" applyNumberFormat="1" applyFill="1"/>
    <xf numFmtId="10" fontId="26" fillId="0" borderId="0" xfId="106" applyNumberFormat="1" applyFont="1" applyAlignment="1">
      <alignment horizontal="center" vertical="center"/>
    </xf>
    <xf numFmtId="14" fontId="0" fillId="19" borderId="126" xfId="0" applyNumberFormat="1" applyFill="1" applyBorder="1" applyAlignment="1">
      <alignment horizontal="left"/>
    </xf>
    <xf numFmtId="14" fontId="0" fillId="19" borderId="126" xfId="0" applyNumberFormat="1" applyFill="1" applyBorder="1"/>
    <xf numFmtId="49" fontId="108" fillId="19" borderId="126" xfId="0" applyNumberFormat="1" applyFont="1" applyFill="1" applyBorder="1"/>
    <xf numFmtId="49" fontId="109" fillId="19" borderId="126" xfId="0" applyNumberFormat="1" applyFont="1" applyFill="1" applyBorder="1"/>
    <xf numFmtId="44" fontId="26" fillId="19" borderId="126" xfId="107" applyFont="1" applyFill="1" applyBorder="1"/>
    <xf numFmtId="4" fontId="26" fillId="0" borderId="126" xfId="102" applyNumberFormat="1" applyBorder="1"/>
    <xf numFmtId="10" fontId="26" fillId="0" borderId="126" xfId="106" applyNumberFormat="1" applyFont="1" applyBorder="1" applyAlignment="1">
      <alignment horizontal="center" vertical="center"/>
    </xf>
    <xf numFmtId="4" fontId="26" fillId="19" borderId="126" xfId="102" applyNumberFormat="1" applyFill="1" applyBorder="1"/>
    <xf numFmtId="44" fontId="0" fillId="0" borderId="0" xfId="107" applyFont="1" applyFill="1" applyBorder="1"/>
    <xf numFmtId="14" fontId="0" fillId="0" borderId="0" xfId="0" applyNumberFormat="1" applyAlignment="1">
      <alignment horizontal="left"/>
    </xf>
    <xf numFmtId="49" fontId="108" fillId="0" borderId="0" xfId="0" applyNumberFormat="1" applyFont="1"/>
    <xf numFmtId="49" fontId="109" fillId="0" borderId="0" xfId="0" applyNumberFormat="1" applyFont="1"/>
    <xf numFmtId="44" fontId="26" fillId="0" borderId="0" xfId="107" applyFont="1" applyFill="1"/>
    <xf numFmtId="168" fontId="26" fillId="0" borderId="0" xfId="102" applyNumberFormat="1" applyAlignment="1">
      <alignment horizontal="center" vertical="center"/>
    </xf>
    <xf numFmtId="44" fontId="26" fillId="0" borderId="0" xfId="107" applyFont="1" applyAlignment="1">
      <alignment horizontal="center" vertical="center"/>
    </xf>
    <xf numFmtId="0" fontId="45" fillId="0" borderId="0" xfId="103" applyFont="1" applyAlignment="1">
      <alignment horizontal="left" vertical="center"/>
    </xf>
    <xf numFmtId="4" fontId="53" fillId="0" borderId="0" xfId="0" applyNumberFormat="1" applyFont="1"/>
    <xf numFmtId="171" fontId="28" fillId="5" borderId="138" xfId="0" applyNumberFormat="1" applyFont="1" applyFill="1" applyBorder="1" applyAlignment="1">
      <alignment horizontal="left" vertical="center" indent="1"/>
    </xf>
    <xf numFmtId="167" fontId="100" fillId="0" borderId="139" xfId="0" applyNumberFormat="1" applyFont="1" applyBorder="1" applyAlignment="1">
      <alignment horizontal="center" vertical="center" wrapText="1"/>
    </xf>
    <xf numFmtId="10" fontId="74" fillId="5" borderId="140" xfId="0" applyNumberFormat="1" applyFont="1" applyFill="1" applyBorder="1" applyAlignment="1">
      <alignment horizontal="center" vertical="center"/>
    </xf>
    <xf numFmtId="4" fontId="128" fillId="5" borderId="139" xfId="0" applyNumberFormat="1" applyFont="1" applyFill="1" applyBorder="1" applyAlignment="1">
      <alignment horizontal="center" vertical="center"/>
    </xf>
    <xf numFmtId="167" fontId="28" fillId="3" borderId="141" xfId="0" applyNumberFormat="1" applyFont="1" applyFill="1" applyBorder="1" applyAlignment="1">
      <alignment horizontal="right" vertical="center" indent="2"/>
    </xf>
    <xf numFmtId="171" fontId="26" fillId="5" borderId="138" xfId="0" applyNumberFormat="1" applyFont="1" applyFill="1" applyBorder="1" applyAlignment="1">
      <alignment horizontal="left" vertical="center" indent="4"/>
    </xf>
    <xf numFmtId="44" fontId="100" fillId="0" borderId="139" xfId="205" applyFont="1" applyBorder="1" applyAlignment="1">
      <alignment horizontal="center" vertical="center" wrapText="1"/>
    </xf>
    <xf numFmtId="0" fontId="26" fillId="5" borderId="138" xfId="0" applyFont="1" applyFill="1" applyBorder="1" applyAlignment="1">
      <alignment horizontal="left" vertical="center" indent="4"/>
    </xf>
    <xf numFmtId="0" fontId="28" fillId="5" borderId="138" xfId="0" applyFont="1" applyFill="1" applyBorder="1" applyAlignment="1">
      <alignment horizontal="left" vertical="center" indent="1"/>
    </xf>
    <xf numFmtId="167" fontId="100" fillId="54" borderId="139" xfId="0" applyNumberFormat="1" applyFont="1" applyFill="1" applyBorder="1" applyAlignment="1">
      <alignment vertical="center" wrapText="1"/>
    </xf>
    <xf numFmtId="9" fontId="74" fillId="55" borderId="140" xfId="0" applyNumberFormat="1" applyFont="1" applyFill="1" applyBorder="1" applyAlignment="1">
      <alignment horizontal="center" vertical="center"/>
    </xf>
    <xf numFmtId="172" fontId="74" fillId="55" borderId="140" xfId="0" applyNumberFormat="1" applyFont="1" applyFill="1" applyBorder="1" applyAlignment="1">
      <alignment horizontal="center" vertical="center"/>
    </xf>
    <xf numFmtId="4" fontId="129" fillId="55" borderId="48" xfId="0" applyNumberFormat="1" applyFont="1" applyFill="1" applyBorder="1" applyAlignment="1">
      <alignment horizontal="center" vertical="center"/>
    </xf>
    <xf numFmtId="167" fontId="28" fillId="56" borderId="141" xfId="0" applyNumberFormat="1" applyFont="1" applyFill="1" applyBorder="1" applyAlignment="1">
      <alignment horizontal="right" vertical="center" indent="2"/>
    </xf>
    <xf numFmtId="0" fontId="26" fillId="5" borderId="138" xfId="0" applyFont="1" applyFill="1" applyBorder="1" applyAlignment="1">
      <alignment horizontal="left" vertical="center" wrapText="1" indent="4"/>
    </xf>
    <xf numFmtId="166" fontId="74" fillId="0" borderId="140" xfId="0" applyNumberFormat="1" applyFont="1" applyBorder="1" applyAlignment="1">
      <alignment horizontal="center" vertical="center"/>
    </xf>
    <xf numFmtId="0" fontId="97" fillId="0" borderId="143" xfId="0" applyFont="1" applyBorder="1" applyAlignment="1">
      <alignment horizontal="left" vertical="center" wrapText="1" indent="1"/>
    </xf>
    <xf numFmtId="0" fontId="26" fillId="0" borderId="138" xfId="0" applyFont="1" applyBorder="1" applyAlignment="1">
      <alignment horizontal="left" vertical="center" indent="4"/>
    </xf>
    <xf numFmtId="167" fontId="100" fillId="0" borderId="139" xfId="0" applyNumberFormat="1" applyFont="1" applyBorder="1" applyAlignment="1">
      <alignment vertical="center" wrapText="1"/>
    </xf>
    <xf numFmtId="4" fontId="128" fillId="55" borderId="139" xfId="0" applyNumberFormat="1" applyFont="1" applyFill="1" applyBorder="1" applyAlignment="1">
      <alignment horizontal="center" vertical="center"/>
    </xf>
    <xf numFmtId="167" fontId="100" fillId="5" borderId="139" xfId="0" applyNumberFormat="1" applyFont="1" applyFill="1" applyBorder="1" applyAlignment="1">
      <alignment vertical="center" wrapText="1"/>
    </xf>
    <xf numFmtId="0" fontId="28" fillId="5" borderId="143" xfId="0" applyFont="1" applyFill="1" applyBorder="1" applyAlignment="1">
      <alignment horizontal="left" vertical="center" indent="1"/>
    </xf>
    <xf numFmtId="3" fontId="83" fillId="3" borderId="8" xfId="0" applyNumberFormat="1" applyFont="1" applyFill="1" applyBorder="1" applyAlignment="1">
      <alignment horizontal="center" vertical="center"/>
    </xf>
    <xf numFmtId="4" fontId="83" fillId="3" borderId="8" xfId="0" applyNumberFormat="1" applyFont="1" applyFill="1" applyBorder="1" applyAlignment="1">
      <alignment horizontal="center" vertical="center"/>
    </xf>
    <xf numFmtId="4" fontId="85" fillId="3" borderId="8" xfId="0" applyNumberFormat="1" applyFont="1" applyFill="1" applyBorder="1" applyAlignment="1">
      <alignment horizontal="right" vertical="center"/>
    </xf>
    <xf numFmtId="167" fontId="28" fillId="3" borderId="22" xfId="0" applyNumberFormat="1" applyFont="1" applyFill="1" applyBorder="1" applyAlignment="1">
      <alignment horizontal="right" vertical="center" indent="2"/>
    </xf>
    <xf numFmtId="10" fontId="74" fillId="0" borderId="140" xfId="0" applyNumberFormat="1" applyFont="1" applyBorder="1" applyAlignment="1">
      <alignment horizontal="center" vertical="center"/>
    </xf>
    <xf numFmtId="14" fontId="23" fillId="3" borderId="146" xfId="97" applyNumberFormat="1" applyFill="1" applyBorder="1" applyAlignment="1">
      <alignment horizontal="center" vertical="center"/>
    </xf>
    <xf numFmtId="0" fontId="26" fillId="5" borderId="23" xfId="0" applyFont="1" applyFill="1" applyBorder="1" applyAlignment="1">
      <alignment horizontal="left" vertical="center" indent="4"/>
    </xf>
    <xf numFmtId="10" fontId="74" fillId="55" borderId="140" xfId="0" applyNumberFormat="1" applyFont="1" applyFill="1" applyBorder="1" applyAlignment="1">
      <alignment horizontal="center" vertical="center"/>
    </xf>
    <xf numFmtId="167" fontId="83" fillId="57" borderId="139" xfId="0" applyNumberFormat="1" applyFont="1" applyFill="1" applyBorder="1" applyAlignment="1">
      <alignment horizontal="center" vertical="center" wrapText="1"/>
    </xf>
    <xf numFmtId="0" fontId="45" fillId="0" borderId="0" xfId="208" applyFont="1" applyAlignment="1">
      <alignment horizontal="left" vertical="center" wrapText="1"/>
    </xf>
    <xf numFmtId="0" fontId="16" fillId="0" borderId="0" xfId="97" applyFont="1" applyAlignment="1">
      <alignment vertical="center" wrapText="1"/>
    </xf>
    <xf numFmtId="0" fontId="45" fillId="0" borderId="0" xfId="97" applyFont="1" applyAlignment="1">
      <alignment horizontal="center" vertical="center"/>
    </xf>
    <xf numFmtId="0" fontId="45" fillId="0" borderId="0" xfId="97" applyFont="1" applyAlignment="1">
      <alignment horizontal="center"/>
    </xf>
    <xf numFmtId="14" fontId="23" fillId="3" borderId="46" xfId="97" applyNumberFormat="1" applyFill="1" applyBorder="1" applyAlignment="1">
      <alignment horizontal="center" vertical="center"/>
    </xf>
    <xf numFmtId="0" fontId="26" fillId="59" borderId="107" xfId="103" applyFill="1" applyBorder="1" applyAlignment="1">
      <alignment horizontal="center" vertical="center"/>
    </xf>
    <xf numFmtId="4" fontId="26" fillId="59" borderId="107" xfId="103" applyNumberFormat="1" applyFill="1" applyBorder="1" applyAlignment="1">
      <alignment horizontal="center" vertical="center"/>
    </xf>
    <xf numFmtId="0" fontId="26" fillId="53" borderId="107" xfId="103" applyFill="1" applyBorder="1" applyAlignment="1">
      <alignment horizontal="center" vertical="center"/>
    </xf>
    <xf numFmtId="0" fontId="26" fillId="53" borderId="107" xfId="103" applyFill="1" applyBorder="1" applyAlignment="1">
      <alignment horizontal="center" vertical="center" wrapText="1"/>
    </xf>
    <xf numFmtId="0" fontId="26" fillId="60" borderId="107" xfId="103" applyFill="1" applyBorder="1" applyAlignment="1">
      <alignment horizontal="center" vertical="center"/>
    </xf>
    <xf numFmtId="0" fontId="26" fillId="61" borderId="107" xfId="103" applyFill="1" applyBorder="1" applyAlignment="1">
      <alignment horizontal="center" vertical="center"/>
    </xf>
    <xf numFmtId="0" fontId="26" fillId="0" borderId="0" xfId="103"/>
    <xf numFmtId="0" fontId="26" fillId="0" borderId="107" xfId="103" applyBorder="1" applyAlignment="1">
      <alignment vertical="center"/>
    </xf>
    <xf numFmtId="0" fontId="26" fillId="0" borderId="107" xfId="103" quotePrefix="1" applyBorder="1" applyAlignment="1">
      <alignment vertical="center"/>
    </xf>
    <xf numFmtId="4" fontId="26" fillId="0" borderId="107" xfId="103" applyNumberFormat="1" applyBorder="1" applyAlignment="1">
      <alignment horizontal="center" vertical="center"/>
    </xf>
    <xf numFmtId="0" fontId="26" fillId="0" borderId="107" xfId="103" applyBorder="1" applyAlignment="1">
      <alignment horizontal="left" vertical="center"/>
    </xf>
    <xf numFmtId="14" fontId="26" fillId="57" borderId="107" xfId="103" applyNumberFormat="1" applyFill="1" applyBorder="1" applyAlignment="1">
      <alignment vertical="center"/>
    </xf>
    <xf numFmtId="0" fontId="26" fillId="0" borderId="107" xfId="103" applyBorder="1" applyAlignment="1">
      <alignment horizontal="center"/>
    </xf>
    <xf numFmtId="0" fontId="125" fillId="0" borderId="107" xfId="180" applyBorder="1" applyAlignment="1">
      <alignment vertical="center"/>
    </xf>
    <xf numFmtId="0" fontId="26" fillId="0" borderId="107" xfId="103" applyBorder="1"/>
    <xf numFmtId="0" fontId="26" fillId="0" borderId="107" xfId="103" applyBorder="1" applyAlignment="1">
      <alignment horizontal="left"/>
    </xf>
    <xf numFmtId="0" fontId="26" fillId="0" borderId="0" xfId="103" applyAlignment="1">
      <alignment horizontal="center"/>
    </xf>
    <xf numFmtId="4" fontId="26" fillId="0" borderId="0" xfId="103" applyNumberFormat="1"/>
    <xf numFmtId="4" fontId="91" fillId="0" borderId="56" xfId="0" applyNumberFormat="1" applyFont="1" applyBorder="1" applyAlignment="1">
      <alignment horizontal="right" vertical="center" wrapText="1"/>
    </xf>
    <xf numFmtId="4" fontId="91" fillId="0" borderId="46" xfId="0" applyNumberFormat="1" applyFont="1" applyBorder="1" applyAlignment="1">
      <alignment horizontal="right" vertical="center" wrapText="1"/>
    </xf>
    <xf numFmtId="164" fontId="66" fillId="8" borderId="22" xfId="79" applyFont="1" applyFill="1" applyBorder="1" applyAlignment="1">
      <alignment horizontal="center" vertical="center" wrapText="1"/>
    </xf>
    <xf numFmtId="4" fontId="68" fillId="4" borderId="55" xfId="0" applyNumberFormat="1" applyFont="1" applyFill="1" applyBorder="1" applyAlignment="1">
      <alignment horizontal="center" vertical="center" wrapText="1"/>
    </xf>
    <xf numFmtId="0" fontId="26" fillId="0" borderId="0" xfId="211"/>
    <xf numFmtId="0" fontId="95" fillId="0" borderId="0" xfId="211" applyFont="1" applyAlignment="1">
      <alignment horizontal="left"/>
    </xf>
    <xf numFmtId="49" fontId="66" fillId="0" borderId="0" xfId="211" applyNumberFormat="1" applyFont="1" applyAlignment="1">
      <alignment horizontal="center" vertical="center" wrapText="1"/>
    </xf>
    <xf numFmtId="14" fontId="28" fillId="0" borderId="155" xfId="211" applyNumberFormat="1" applyFont="1" applyBorder="1" applyAlignment="1">
      <alignment horizontal="left" vertical="center" indent="1"/>
    </xf>
    <xf numFmtId="14" fontId="26" fillId="0" borderId="0" xfId="211" applyNumberFormat="1" applyAlignment="1">
      <alignment horizontal="center"/>
    </xf>
    <xf numFmtId="167" fontId="26" fillId="0" borderId="156" xfId="212" applyFont="1" applyFill="1" applyBorder="1"/>
    <xf numFmtId="167" fontId="26" fillId="0" borderId="157" xfId="212" applyFont="1" applyFill="1" applyBorder="1"/>
    <xf numFmtId="164" fontId="26" fillId="0" borderId="0" xfId="213" applyFont="1" applyBorder="1" applyAlignment="1">
      <alignment horizontal="left" vertical="center" indent="1"/>
    </xf>
    <xf numFmtId="14" fontId="28" fillId="0" borderId="158" xfId="211" applyNumberFormat="1" applyFont="1" applyBorder="1" applyAlignment="1">
      <alignment horizontal="left" vertical="center" indent="1"/>
    </xf>
    <xf numFmtId="167" fontId="26" fillId="0" borderId="159" xfId="212" applyFont="1" applyFill="1" applyBorder="1"/>
    <xf numFmtId="167" fontId="26" fillId="0" borderId="160" xfId="212" applyFont="1" applyFill="1" applyBorder="1"/>
    <xf numFmtId="0" fontId="66" fillId="52" borderId="7" xfId="0" applyFont="1" applyFill="1" applyBorder="1" applyAlignment="1">
      <alignment horizontal="centerContinuous" vertical="center" wrapText="1"/>
    </xf>
    <xf numFmtId="0" fontId="66" fillId="52" borderId="8" xfId="0" applyFont="1" applyFill="1" applyBorder="1" applyAlignment="1">
      <alignment horizontal="centerContinuous" vertical="center" wrapText="1"/>
    </xf>
    <xf numFmtId="0" fontId="66" fillId="52" borderId="11" xfId="0" applyFont="1" applyFill="1" applyBorder="1" applyAlignment="1">
      <alignment horizontal="centerContinuous" vertical="center" wrapText="1"/>
    </xf>
    <xf numFmtId="164" fontId="80" fillId="17" borderId="3" xfId="79" applyFont="1" applyFill="1" applyBorder="1" applyAlignment="1">
      <alignment horizontal="center" vertical="center" wrapText="1"/>
    </xf>
    <xf numFmtId="164" fontId="80" fillId="17" borderId="13" xfId="79" applyFont="1" applyFill="1" applyBorder="1" applyAlignment="1">
      <alignment horizontal="center" vertical="center" wrapText="1"/>
    </xf>
    <xf numFmtId="164" fontId="80" fillId="17" borderId="26" xfId="79" applyFont="1" applyFill="1" applyBorder="1" applyAlignment="1">
      <alignment horizontal="center" vertical="center" wrapText="1"/>
    </xf>
    <xf numFmtId="0" fontId="66" fillId="52" borderId="7" xfId="0" applyFont="1" applyFill="1" applyBorder="1" applyAlignment="1">
      <alignment horizontal="centerContinuous" vertical="center"/>
    </xf>
    <xf numFmtId="0" fontId="66" fillId="52" borderId="8" xfId="0" applyFont="1" applyFill="1" applyBorder="1" applyAlignment="1">
      <alignment horizontal="centerContinuous" vertical="center"/>
    </xf>
    <xf numFmtId="0" fontId="66" fillId="52" borderId="11" xfId="0" applyFont="1" applyFill="1" applyBorder="1" applyAlignment="1">
      <alignment horizontal="centerContinuous" vertical="center"/>
    </xf>
    <xf numFmtId="0" fontId="45" fillId="62" borderId="111" xfId="98" applyNumberFormat="1" applyFont="1" applyFill="1" applyBorder="1" applyAlignment="1">
      <alignment horizontal="center" vertical="center"/>
    </xf>
    <xf numFmtId="0" fontId="105" fillId="0" borderId="22" xfId="97" applyFont="1" applyBorder="1" applyAlignment="1">
      <alignment horizontal="center" vertical="center" wrapText="1"/>
    </xf>
    <xf numFmtId="0" fontId="134" fillId="0" borderId="0" xfId="97" applyFont="1" applyAlignment="1">
      <alignment vertical="center"/>
    </xf>
    <xf numFmtId="0" fontId="135" fillId="0" borderId="0" xfId="97" applyFont="1" applyAlignment="1">
      <alignment vertical="center"/>
    </xf>
    <xf numFmtId="0" fontId="136" fillId="0" borderId="0" xfId="97" applyFont="1" applyAlignment="1">
      <alignment vertical="center"/>
    </xf>
    <xf numFmtId="0" fontId="56" fillId="0" borderId="0" xfId="97" applyFont="1" applyAlignment="1">
      <alignment horizontal="centerContinuous"/>
    </xf>
    <xf numFmtId="0" fontId="109" fillId="0" borderId="0" xfId="97" quotePrefix="1" applyFont="1"/>
    <xf numFmtId="0" fontId="109" fillId="0" borderId="0" xfId="97" applyFont="1"/>
    <xf numFmtId="0" fontId="100" fillId="0" borderId="0" xfId="97" applyFont="1"/>
    <xf numFmtId="0" fontId="138" fillId="0" borderId="22" xfId="97" applyFont="1" applyBorder="1"/>
    <xf numFmtId="164" fontId="80" fillId="62" borderId="26" xfId="79" applyFont="1" applyFill="1" applyBorder="1" applyAlignment="1">
      <alignment horizontal="centerContinuous" vertical="center" wrapText="1"/>
    </xf>
    <xf numFmtId="164" fontId="80" fillId="62" borderId="26" xfId="79" applyFont="1" applyFill="1" applyBorder="1" applyAlignment="1">
      <alignment horizontal="center" vertical="center" wrapText="1"/>
    </xf>
    <xf numFmtId="164" fontId="80" fillId="62" borderId="3" xfId="79" applyFont="1" applyFill="1" applyBorder="1" applyAlignment="1">
      <alignment horizontal="center" vertical="center" wrapText="1"/>
    </xf>
    <xf numFmtId="164" fontId="80" fillId="62" borderId="13" xfId="79" applyFont="1" applyFill="1" applyBorder="1" applyAlignment="1">
      <alignment horizontal="center" vertical="center" wrapText="1"/>
    </xf>
    <xf numFmtId="0" fontId="45" fillId="0" borderId="0" xfId="97" applyFont="1" applyAlignment="1">
      <alignment horizontal="left" vertical="center" wrapText="1"/>
    </xf>
    <xf numFmtId="0" fontId="45" fillId="0" borderId="0" xfId="210" applyFont="1" applyAlignment="1">
      <alignment horizontal="left" vertical="center" wrapText="1"/>
    </xf>
    <xf numFmtId="0" fontId="50" fillId="0" borderId="0" xfId="103" applyFont="1" applyAlignment="1">
      <alignment vertical="center"/>
    </xf>
    <xf numFmtId="4" fontId="91" fillId="0" borderId="163" xfId="0" applyNumberFormat="1" applyFont="1" applyBorder="1" applyAlignment="1">
      <alignment horizontal="right" vertical="center" wrapText="1"/>
    </xf>
    <xf numFmtId="0" fontId="66" fillId="14" borderId="22" xfId="0" applyFont="1" applyFill="1" applyBorder="1" applyAlignment="1">
      <alignment horizontal="centerContinuous" vertical="center" wrapText="1"/>
    </xf>
    <xf numFmtId="4" fontId="68" fillId="3" borderId="111" xfId="0" applyNumberFormat="1" applyFont="1" applyFill="1" applyBorder="1" applyAlignment="1">
      <alignment horizontal="center" vertical="center" wrapText="1"/>
    </xf>
    <xf numFmtId="4" fontId="26" fillId="57" borderId="107" xfId="103" applyNumberFormat="1" applyFill="1" applyBorder="1" applyAlignment="1">
      <alignment vertical="center"/>
    </xf>
    <xf numFmtId="4" fontId="102" fillId="0" borderId="0" xfId="103" applyNumberFormat="1" applyFont="1" applyAlignment="1">
      <alignment horizontal="center"/>
    </xf>
    <xf numFmtId="3" fontId="83" fillId="0" borderId="142" xfId="0" applyNumberFormat="1" applyFont="1" applyBorder="1" applyAlignment="1">
      <alignment horizontal="center" vertical="center" wrapText="1"/>
    </xf>
    <xf numFmtId="4" fontId="26" fillId="2" borderId="0" xfId="99" applyNumberFormat="1" applyFont="1" applyFill="1"/>
    <xf numFmtId="4" fontId="0" fillId="0" borderId="0" xfId="107" applyNumberFormat="1" applyFont="1"/>
    <xf numFmtId="4" fontId="80" fillId="62" borderId="26" xfId="79" applyNumberFormat="1" applyFont="1" applyFill="1" applyBorder="1" applyAlignment="1">
      <alignment horizontal="centerContinuous" vertical="center" wrapText="1"/>
    </xf>
    <xf numFmtId="4" fontId="80" fillId="62" borderId="5" xfId="79" applyNumberFormat="1" applyFont="1" applyFill="1" applyBorder="1" applyAlignment="1">
      <alignment horizontal="centerContinuous" vertical="center" wrapText="1"/>
    </xf>
    <xf numFmtId="4" fontId="80" fillId="62" borderId="26" xfId="79" applyNumberFormat="1" applyFont="1" applyFill="1" applyBorder="1" applyAlignment="1">
      <alignment horizontal="center" vertical="center" wrapText="1"/>
    </xf>
    <xf numFmtId="4" fontId="80" fillId="62" borderId="5" xfId="79" applyNumberFormat="1" applyFont="1" applyFill="1" applyBorder="1" applyAlignment="1">
      <alignment horizontal="center" vertical="center" wrapText="1"/>
    </xf>
    <xf numFmtId="4" fontId="0" fillId="0" borderId="109" xfId="0" quotePrefix="1" applyNumberFormat="1" applyBorder="1" applyAlignment="1">
      <alignment horizontal="center" vertical="center"/>
    </xf>
    <xf numFmtId="4" fontId="0" fillId="0" borderId="110" xfId="0" quotePrefix="1" applyNumberFormat="1" applyBorder="1" applyAlignment="1">
      <alignment horizontal="center" vertical="center"/>
    </xf>
    <xf numFmtId="4" fontId="91" fillId="4" borderId="163" xfId="0" applyNumberFormat="1" applyFont="1" applyFill="1" applyBorder="1" applyAlignment="1">
      <alignment horizontal="right" vertical="center" wrapText="1"/>
    </xf>
    <xf numFmtId="0" fontId="0" fillId="0" borderId="110" xfId="0" applyBorder="1" applyAlignment="1">
      <alignment horizontal="center"/>
    </xf>
    <xf numFmtId="4" fontId="28" fillId="3" borderId="111" xfId="0" applyNumberFormat="1" applyFont="1" applyFill="1" applyBorder="1" applyAlignment="1">
      <alignment horizontal="center" vertical="center" wrapText="1"/>
    </xf>
    <xf numFmtId="4" fontId="28" fillId="0" borderId="0" xfId="0" applyNumberFormat="1" applyFont="1"/>
    <xf numFmtId="4" fontId="28" fillId="4" borderId="163" xfId="79" applyNumberFormat="1" applyFont="1" applyFill="1" applyBorder="1" applyAlignment="1">
      <alignment horizontal="center" vertical="center" wrapText="1"/>
    </xf>
    <xf numFmtId="4" fontId="28" fillId="0" borderId="33" xfId="0" applyNumberFormat="1" applyFont="1" applyBorder="1" applyAlignment="1">
      <alignment horizontal="center" vertical="center" wrapText="1"/>
    </xf>
    <xf numFmtId="4" fontId="28" fillId="4" borderId="33" xfId="0" applyNumberFormat="1" applyFont="1" applyFill="1" applyBorder="1" applyAlignment="1">
      <alignment horizontal="center" vertical="center" wrapText="1"/>
    </xf>
    <xf numFmtId="4" fontId="28" fillId="4" borderId="34" xfId="0" applyNumberFormat="1" applyFont="1" applyFill="1" applyBorder="1" applyAlignment="1">
      <alignment horizontal="center" vertical="center" wrapText="1"/>
    </xf>
    <xf numFmtId="0" fontId="28" fillId="0" borderId="0" xfId="0" applyFont="1" applyAlignment="1">
      <alignment horizontal="right"/>
    </xf>
    <xf numFmtId="0" fontId="26" fillId="0" borderId="0" xfId="0" applyFont="1" applyAlignment="1">
      <alignment horizontal="center"/>
    </xf>
    <xf numFmtId="167" fontId="84" fillId="4" borderId="107" xfId="103" applyNumberFormat="1" applyFont="1" applyFill="1" applyBorder="1" applyAlignment="1">
      <alignment horizontal="right" vertical="center" indent="1"/>
    </xf>
    <xf numFmtId="0" fontId="26" fillId="0" borderId="107" xfId="0" applyFont="1" applyBorder="1"/>
    <xf numFmtId="4" fontId="28" fillId="58" borderId="107" xfId="0" applyNumberFormat="1" applyFont="1" applyFill="1" applyBorder="1"/>
    <xf numFmtId="0" fontId="80" fillId="0" borderId="0" xfId="103" applyFont="1"/>
    <xf numFmtId="0" fontId="80" fillId="0" borderId="0" xfId="211" applyFont="1"/>
    <xf numFmtId="4" fontId="0" fillId="0" borderId="0" xfId="0" applyNumberFormat="1" applyAlignment="1">
      <alignment horizontal="center"/>
    </xf>
    <xf numFmtId="164" fontId="0" fillId="0" borderId="0" xfId="0" applyNumberFormat="1" applyAlignment="1">
      <alignment horizontal="center"/>
    </xf>
    <xf numFmtId="164" fontId="139" fillId="17" borderId="26" xfId="79" applyFont="1" applyFill="1" applyBorder="1" applyAlignment="1">
      <alignment horizontal="centerContinuous" vertical="center" wrapText="1"/>
    </xf>
    <xf numFmtId="164" fontId="139" fillId="17" borderId="4" xfId="79" applyFont="1" applyFill="1" applyBorder="1" applyAlignment="1">
      <alignment horizontal="centerContinuous" vertical="center" wrapText="1"/>
    </xf>
    <xf numFmtId="164" fontId="139" fillId="17" borderId="8" xfId="79" applyFont="1" applyFill="1" applyBorder="1" applyAlignment="1">
      <alignment horizontal="centerContinuous" vertical="center" wrapText="1"/>
    </xf>
    <xf numFmtId="164" fontId="139" fillId="17" borderId="5" xfId="79" applyFont="1" applyFill="1" applyBorder="1" applyAlignment="1">
      <alignment horizontal="centerContinuous" vertical="center" wrapText="1"/>
    </xf>
    <xf numFmtId="164" fontId="139" fillId="17" borderId="26" xfId="79" applyFont="1" applyFill="1" applyBorder="1" applyAlignment="1">
      <alignment horizontal="center" vertical="center" wrapText="1"/>
    </xf>
    <xf numFmtId="164" fontId="139" fillId="17" borderId="4" xfId="79" applyFont="1" applyFill="1" applyBorder="1" applyAlignment="1">
      <alignment horizontal="center" vertical="center" wrapText="1"/>
    </xf>
    <xf numFmtId="164" fontId="139" fillId="17" borderId="8" xfId="79" applyFont="1" applyFill="1" applyBorder="1" applyAlignment="1">
      <alignment horizontal="center" vertical="center" wrapText="1"/>
    </xf>
    <xf numFmtId="164" fontId="139" fillId="17" borderId="5" xfId="79" applyFont="1" applyFill="1" applyBorder="1" applyAlignment="1">
      <alignment horizontal="center" vertical="center" wrapText="1"/>
    </xf>
    <xf numFmtId="164" fontId="80" fillId="63" borderId="22" xfId="79" applyFont="1" applyFill="1" applyBorder="1" applyAlignment="1">
      <alignment horizontal="center" vertical="center" wrapText="1"/>
    </xf>
    <xf numFmtId="0" fontId="66" fillId="63" borderId="22" xfId="0" applyFont="1" applyFill="1" applyBorder="1" applyAlignment="1">
      <alignment horizontal="centerContinuous" vertical="center" wrapText="1"/>
    </xf>
    <xf numFmtId="0" fontId="26" fillId="0" borderId="168" xfId="103" applyBorder="1" applyAlignment="1">
      <alignment vertical="center"/>
    </xf>
    <xf numFmtId="0" fontId="26" fillId="64" borderId="0" xfId="103" applyFill="1"/>
    <xf numFmtId="4" fontId="26" fillId="57" borderId="168" xfId="103" applyNumberFormat="1" applyFill="1" applyBorder="1" applyAlignment="1">
      <alignment vertical="center"/>
    </xf>
    <xf numFmtId="0" fontId="26" fillId="0" borderId="168" xfId="103" applyBorder="1" applyAlignment="1">
      <alignment horizontal="left"/>
    </xf>
    <xf numFmtId="0" fontId="93" fillId="12" borderId="76" xfId="0" applyFont="1" applyFill="1" applyBorder="1" applyAlignment="1">
      <alignment horizontal="center" vertical="center" wrapText="1"/>
    </xf>
    <xf numFmtId="0" fontId="125" fillId="0" borderId="0" xfId="180" applyAlignment="1">
      <alignment vertical="center"/>
    </xf>
    <xf numFmtId="49" fontId="14" fillId="0" borderId="0" xfId="216" applyNumberFormat="1"/>
    <xf numFmtId="0" fontId="14" fillId="0" borderId="0" xfId="216"/>
    <xf numFmtId="0" fontId="142" fillId="0" borderId="27" xfId="216" applyFont="1" applyBorder="1" applyAlignment="1">
      <alignment horizontal="justify" vertical="center" wrapText="1"/>
    </xf>
    <xf numFmtId="4" fontId="142" fillId="0" borderId="29" xfId="216" applyNumberFormat="1" applyFont="1" applyBorder="1" applyAlignment="1">
      <alignment vertical="center" wrapText="1"/>
    </xf>
    <xf numFmtId="3" fontId="142" fillId="0" borderId="29" xfId="216" applyNumberFormat="1" applyFont="1" applyBorder="1" applyAlignment="1">
      <alignment vertical="center" wrapText="1"/>
    </xf>
    <xf numFmtId="0" fontId="142" fillId="0" borderId="0" xfId="216" applyFont="1" applyAlignment="1">
      <alignment horizontal="justify" vertical="center" wrapText="1"/>
    </xf>
    <xf numFmtId="0" fontId="142" fillId="0" borderId="0" xfId="216" applyFont="1" applyAlignment="1">
      <alignment vertical="center" wrapText="1"/>
    </xf>
    <xf numFmtId="0" fontId="141" fillId="0" borderId="0" xfId="216" applyFont="1" applyAlignment="1">
      <alignment vertical="center"/>
    </xf>
    <xf numFmtId="0" fontId="141" fillId="0" borderId="0" xfId="216" applyFont="1" applyAlignment="1">
      <alignment horizontal="justify" vertical="center"/>
    </xf>
    <xf numFmtId="0" fontId="141" fillId="0" borderId="0" xfId="216" applyFont="1" applyAlignment="1">
      <alignment horizontal="center" vertical="center" wrapText="1"/>
    </xf>
    <xf numFmtId="0" fontId="142" fillId="0" borderId="0" xfId="216" applyFont="1" applyAlignment="1">
      <alignment horizontal="justify" vertical="center"/>
    </xf>
    <xf numFmtId="4" fontId="142" fillId="0" borderId="0" xfId="216" applyNumberFormat="1" applyFont="1" applyAlignment="1">
      <alignment horizontal="right" vertical="center"/>
    </xf>
    <xf numFmtId="10" fontId="14" fillId="0" borderId="0" xfId="216" applyNumberFormat="1" applyAlignment="1">
      <alignment horizontal="center" vertical="center"/>
    </xf>
    <xf numFmtId="3" fontId="14" fillId="0" borderId="0" xfId="216" applyNumberFormat="1" applyAlignment="1">
      <alignment horizontal="center" vertical="center"/>
    </xf>
    <xf numFmtId="0" fontId="141" fillId="0" borderId="0" xfId="216" applyFont="1" applyAlignment="1">
      <alignment horizontal="right" vertical="center"/>
    </xf>
    <xf numFmtId="49" fontId="49" fillId="0" borderId="0" xfId="216" applyNumberFormat="1" applyFont="1"/>
    <xf numFmtId="49" fontId="80" fillId="0" borderId="0" xfId="207" applyNumberFormat="1" applyFont="1" applyAlignment="1"/>
    <xf numFmtId="0" fontId="26" fillId="0" borderId="0" xfId="217"/>
    <xf numFmtId="4" fontId="73" fillId="0" borderId="169" xfId="218" applyNumberFormat="1" applyFont="1" applyBorder="1" applyAlignment="1">
      <alignment horizontal="right" vertical="center" indent="1"/>
    </xf>
    <xf numFmtId="4" fontId="73" fillId="0" borderId="170" xfId="218" applyNumberFormat="1" applyFont="1" applyBorder="1" applyAlignment="1">
      <alignment horizontal="right" vertical="center" indent="1"/>
    </xf>
    <xf numFmtId="4" fontId="73" fillId="0" borderId="171" xfId="218" applyNumberFormat="1" applyFont="1" applyBorder="1" applyAlignment="1">
      <alignment horizontal="right" vertical="center" indent="1"/>
    </xf>
    <xf numFmtId="4" fontId="26" fillId="0" borderId="171" xfId="218" applyNumberFormat="1" applyBorder="1" applyAlignment="1">
      <alignment horizontal="right" vertical="center" indent="1"/>
    </xf>
    <xf numFmtId="4" fontId="26" fillId="0" borderId="172" xfId="218" applyNumberFormat="1" applyBorder="1" applyAlignment="1">
      <alignment horizontal="right" vertical="center" indent="1"/>
    </xf>
    <xf numFmtId="4" fontId="14" fillId="0" borderId="0" xfId="216" applyNumberFormat="1"/>
    <xf numFmtId="173" fontId="143" fillId="0" borderId="0" xfId="220" applyNumberFormat="1" applyFont="1" applyAlignment="1" applyProtection="1">
      <alignment horizontal="left" vertical="center"/>
      <protection locked="0"/>
    </xf>
    <xf numFmtId="173" fontId="144" fillId="0" borderId="0" xfId="220" applyNumberFormat="1" applyFont="1" applyAlignment="1" applyProtection="1">
      <alignment horizontal="left" vertical="center"/>
      <protection locked="0"/>
    </xf>
    <xf numFmtId="0" fontId="74" fillId="0" borderId="176" xfId="220" applyFont="1" applyBorder="1" applyAlignment="1" applyProtection="1">
      <alignment horizontal="center" vertical="center" wrapText="1"/>
      <protection locked="0"/>
    </xf>
    <xf numFmtId="0" fontId="74" fillId="0" borderId="177" xfId="216" applyFont="1" applyBorder="1" applyAlignment="1">
      <alignment horizontal="center" vertical="center" wrapText="1"/>
    </xf>
    <xf numFmtId="173" fontId="30" fillId="0" borderId="179" xfId="220" applyNumberFormat="1" applyFont="1" applyBorder="1" applyAlignment="1" applyProtection="1">
      <alignment horizontal="left" vertical="center"/>
      <protection locked="0"/>
    </xf>
    <xf numFmtId="173" fontId="30" fillId="0" borderId="180" xfId="220" applyNumberFormat="1" applyFont="1" applyBorder="1" applyAlignment="1" applyProtection="1">
      <alignment horizontal="left" vertical="center"/>
      <protection locked="0"/>
    </xf>
    <xf numFmtId="4" fontId="14" fillId="0" borderId="181" xfId="216" applyNumberFormat="1" applyBorder="1" applyAlignment="1">
      <alignment vertical="center"/>
    </xf>
    <xf numFmtId="3" fontId="14" fillId="0" borderId="182" xfId="216" applyNumberFormat="1" applyBorder="1" applyAlignment="1">
      <alignment vertical="center"/>
    </xf>
    <xf numFmtId="4" fontId="14" fillId="0" borderId="183" xfId="216" applyNumberFormat="1" applyBorder="1" applyAlignment="1">
      <alignment vertical="center"/>
    </xf>
    <xf numFmtId="3" fontId="14" fillId="0" borderId="184" xfId="216" applyNumberFormat="1" applyBorder="1" applyAlignment="1">
      <alignment vertical="center"/>
    </xf>
    <xf numFmtId="3" fontId="14" fillId="0" borderId="0" xfId="216" applyNumberFormat="1"/>
    <xf numFmtId="173" fontId="59" fillId="0" borderId="178" xfId="220" applyNumberFormat="1" applyFont="1" applyBorder="1" applyAlignment="1" applyProtection="1">
      <alignment horizontal="left" vertical="center"/>
      <protection locked="0"/>
    </xf>
    <xf numFmtId="4" fontId="28" fillId="3" borderId="178" xfId="221" applyNumberFormat="1" applyFont="1" applyFill="1" applyBorder="1" applyAlignment="1">
      <alignment horizontal="center" vertical="center"/>
    </xf>
    <xf numFmtId="4" fontId="28" fillId="3" borderId="177" xfId="221" applyNumberFormat="1" applyFont="1" applyFill="1" applyBorder="1" applyAlignment="1">
      <alignment horizontal="center" vertical="center"/>
    </xf>
    <xf numFmtId="0" fontId="74" fillId="0" borderId="183" xfId="220" applyFont="1" applyBorder="1" applyAlignment="1" applyProtection="1">
      <alignment horizontal="center" vertical="center" wrapText="1"/>
      <protection locked="0"/>
    </xf>
    <xf numFmtId="0" fontId="74" fillId="0" borderId="184" xfId="216" applyFont="1" applyBorder="1" applyAlignment="1">
      <alignment horizontal="center" vertical="center" wrapText="1"/>
    </xf>
    <xf numFmtId="0" fontId="26" fillId="0" borderId="0" xfId="216" applyFont="1"/>
    <xf numFmtId="0" fontId="74" fillId="0" borderId="185" xfId="220" applyFont="1" applyBorder="1" applyAlignment="1" applyProtection="1">
      <alignment horizontal="center" vertical="center"/>
      <protection locked="0"/>
    </xf>
    <xf numFmtId="4" fontId="14" fillId="1" borderId="186" xfId="216" applyNumberFormat="1" applyFill="1" applyBorder="1" applyAlignment="1">
      <alignment vertical="center"/>
    </xf>
    <xf numFmtId="4" fontId="14" fillId="1" borderId="182" xfId="216" applyNumberFormat="1" applyFill="1" applyBorder="1" applyAlignment="1">
      <alignment vertical="center"/>
    </xf>
    <xf numFmtId="0" fontId="74" fillId="0" borderId="189" xfId="220" applyFont="1" applyBorder="1" applyAlignment="1" applyProtection="1">
      <alignment horizontal="center" vertical="center"/>
      <protection locked="0"/>
    </xf>
    <xf numFmtId="3" fontId="14" fillId="0" borderId="192" xfId="216" applyNumberFormat="1" applyBorder="1" applyAlignment="1">
      <alignment vertical="center"/>
    </xf>
    <xf numFmtId="4" fontId="14" fillId="0" borderId="193" xfId="216" applyNumberFormat="1" applyBorder="1" applyAlignment="1">
      <alignment vertical="center"/>
    </xf>
    <xf numFmtId="3" fontId="14" fillId="0" borderId="194" xfId="216" applyNumberFormat="1" applyBorder="1" applyAlignment="1">
      <alignment vertical="center"/>
    </xf>
    <xf numFmtId="4" fontId="14" fillId="1" borderId="190" xfId="216" applyNumberFormat="1" applyFill="1" applyBorder="1" applyAlignment="1">
      <alignment vertical="center"/>
    </xf>
    <xf numFmtId="4" fontId="14" fillId="1" borderId="194" xfId="216" applyNumberFormat="1" applyFill="1" applyBorder="1" applyAlignment="1">
      <alignment vertical="center"/>
    </xf>
    <xf numFmtId="3" fontId="14" fillId="1" borderId="194" xfId="216" applyNumberFormat="1" applyFill="1" applyBorder="1" applyAlignment="1">
      <alignment vertical="center"/>
    </xf>
    <xf numFmtId="4" fontId="14" fillId="1" borderId="196" xfId="216" applyNumberFormat="1" applyFill="1" applyBorder="1" applyAlignment="1">
      <alignment vertical="center"/>
    </xf>
    <xf numFmtId="3" fontId="14" fillId="1" borderId="199" xfId="216" applyNumberFormat="1" applyFill="1" applyBorder="1" applyAlignment="1">
      <alignment vertical="center"/>
    </xf>
    <xf numFmtId="4" fontId="14" fillId="1" borderId="199" xfId="216" applyNumberFormat="1" applyFill="1" applyBorder="1" applyAlignment="1">
      <alignment vertical="center"/>
    </xf>
    <xf numFmtId="4" fontId="14" fillId="0" borderId="0" xfId="216" applyNumberFormat="1" applyAlignment="1">
      <alignment vertical="center"/>
    </xf>
    <xf numFmtId="0" fontId="74" fillId="0" borderId="200" xfId="220" quotePrefix="1" applyFont="1" applyBorder="1" applyAlignment="1">
      <alignment horizontal="center" vertical="center"/>
    </xf>
    <xf numFmtId="4" fontId="14" fillId="0" borderId="181" xfId="216" applyNumberFormat="1" applyBorder="1" applyAlignment="1">
      <alignment horizontal="right" vertical="center"/>
    </xf>
    <xf numFmtId="3" fontId="14" fillId="0" borderId="182" xfId="216" applyNumberFormat="1" applyBorder="1" applyAlignment="1">
      <alignment horizontal="right" vertical="center"/>
    </xf>
    <xf numFmtId="0" fontId="74" fillId="0" borderId="189" xfId="220" quotePrefix="1" applyFont="1" applyBorder="1" applyAlignment="1">
      <alignment horizontal="center" vertical="center"/>
    </xf>
    <xf numFmtId="0" fontId="74" fillId="0" borderId="195" xfId="220" quotePrefix="1" applyFont="1" applyBorder="1" applyAlignment="1">
      <alignment horizontal="center" vertical="center"/>
    </xf>
    <xf numFmtId="0" fontId="80" fillId="0" borderId="0" xfId="216" applyFont="1"/>
    <xf numFmtId="14" fontId="14" fillId="0" borderId="0" xfId="216" applyNumberFormat="1"/>
    <xf numFmtId="4" fontId="14" fillId="0" borderId="208" xfId="216" applyNumberFormat="1" applyBorder="1" applyAlignment="1">
      <alignment horizontal="right" vertical="center"/>
    </xf>
    <xf numFmtId="3" fontId="14" fillId="0" borderId="192" xfId="216" applyNumberFormat="1" applyBorder="1" applyAlignment="1">
      <alignment horizontal="right" vertical="center"/>
    </xf>
    <xf numFmtId="0" fontId="74" fillId="0" borderId="201" xfId="220" applyFont="1" applyBorder="1" applyAlignment="1" applyProtection="1">
      <alignment horizontal="center" vertical="center"/>
      <protection locked="0"/>
    </xf>
    <xf numFmtId="0" fontId="0" fillId="0" borderId="210" xfId="0" applyBorder="1"/>
    <xf numFmtId="0" fontId="0" fillId="0" borderId="211" xfId="0" applyBorder="1"/>
    <xf numFmtId="0" fontId="0" fillId="0" borderId="212" xfId="0" applyBorder="1"/>
    <xf numFmtId="0" fontId="146" fillId="0" borderId="0" xfId="0" applyFont="1"/>
    <xf numFmtId="0" fontId="0" fillId="0" borderId="214" xfId="0" applyBorder="1"/>
    <xf numFmtId="0" fontId="146" fillId="0" borderId="215" xfId="0" applyFont="1" applyBorder="1"/>
    <xf numFmtId="0" fontId="146" fillId="0" borderId="216" xfId="0" applyFont="1" applyBorder="1"/>
    <xf numFmtId="0" fontId="0" fillId="0" borderId="217" xfId="0" applyBorder="1"/>
    <xf numFmtId="0" fontId="125" fillId="0" borderId="213" xfId="180" applyBorder="1"/>
    <xf numFmtId="0" fontId="13" fillId="0" borderId="0" xfId="216" applyFont="1"/>
    <xf numFmtId="0" fontId="125" fillId="0" borderId="0" xfId="180"/>
    <xf numFmtId="0" fontId="125" fillId="0" borderId="0" xfId="180" applyBorder="1"/>
    <xf numFmtId="14" fontId="12" fillId="3" borderId="146" xfId="97" applyNumberFormat="1" applyFont="1" applyFill="1" applyBorder="1" applyAlignment="1">
      <alignment horizontal="center" vertical="center"/>
    </xf>
    <xf numFmtId="14" fontId="45" fillId="0" borderId="0" xfId="97" applyNumberFormat="1" applyFont="1" applyAlignment="1">
      <alignment horizontal="center" vertical="center"/>
    </xf>
    <xf numFmtId="14" fontId="45" fillId="0" borderId="218" xfId="97" applyNumberFormat="1" applyFont="1" applyBorder="1" applyAlignment="1">
      <alignment horizontal="center" vertical="center"/>
    </xf>
    <xf numFmtId="0" fontId="48" fillId="0" borderId="89" xfId="0" applyFont="1" applyBorder="1" applyAlignment="1">
      <alignment horizontal="left" vertical="center"/>
    </xf>
    <xf numFmtId="0" fontId="48" fillId="0" borderId="0" xfId="0" applyFont="1"/>
    <xf numFmtId="173" fontId="48" fillId="0" borderId="178" xfId="220" applyNumberFormat="1" applyFont="1" applyBorder="1" applyAlignment="1" applyProtection="1">
      <alignment horizontal="left" vertical="center"/>
      <protection locked="0"/>
    </xf>
    <xf numFmtId="173" fontId="48" fillId="0" borderId="179" xfId="220" applyNumberFormat="1" applyFont="1" applyBorder="1" applyAlignment="1" applyProtection="1">
      <alignment horizontal="left" vertical="center"/>
      <protection locked="0"/>
    </xf>
    <xf numFmtId="173" fontId="48" fillId="0" borderId="180" xfId="220" applyNumberFormat="1" applyFont="1" applyBorder="1" applyAlignment="1" applyProtection="1">
      <alignment horizontal="left" vertical="center"/>
      <protection locked="0"/>
    </xf>
    <xf numFmtId="0" fontId="28" fillId="0" borderId="0" xfId="217" applyFont="1" applyAlignment="1">
      <alignment vertical="center"/>
    </xf>
    <xf numFmtId="0" fontId="96" fillId="0" borderId="0" xfId="217" applyFont="1" applyAlignment="1">
      <alignment vertical="center"/>
    </xf>
    <xf numFmtId="0" fontId="97" fillId="7" borderId="124" xfId="217" applyFont="1" applyFill="1" applyBorder="1" applyAlignment="1">
      <alignment horizontal="left" vertical="center" indent="1"/>
    </xf>
    <xf numFmtId="3" fontId="70" fillId="5" borderId="125" xfId="217" applyNumberFormat="1" applyFont="1" applyFill="1" applyBorder="1" applyAlignment="1">
      <alignment horizontal="center" vertical="center"/>
    </xf>
    <xf numFmtId="44" fontId="28" fillId="0" borderId="0" xfId="205" applyFont="1" applyAlignment="1">
      <alignment vertical="center"/>
    </xf>
    <xf numFmtId="44" fontId="96" fillId="0" borderId="0" xfId="205" applyFont="1" applyAlignment="1">
      <alignment vertical="center"/>
    </xf>
    <xf numFmtId="0" fontId="97" fillId="7" borderId="223" xfId="205" applyNumberFormat="1" applyFont="1" applyFill="1" applyBorder="1" applyAlignment="1">
      <alignment horizontal="left" vertical="center" indent="1"/>
    </xf>
    <xf numFmtId="175" fontId="98" fillId="5" borderId="224" xfId="205" applyNumberFormat="1" applyFont="1" applyFill="1" applyBorder="1" applyAlignment="1">
      <alignment horizontal="center" vertical="center"/>
    </xf>
    <xf numFmtId="44" fontId="26" fillId="0" borderId="0" xfId="205" applyFont="1"/>
    <xf numFmtId="0" fontId="97" fillId="7" borderId="223" xfId="217" applyFont="1" applyFill="1" applyBorder="1" applyAlignment="1">
      <alignment horizontal="left" vertical="center" indent="1"/>
    </xf>
    <xf numFmtId="9" fontId="98" fillId="5" borderId="224" xfId="16" applyFont="1" applyFill="1" applyBorder="1" applyAlignment="1">
      <alignment horizontal="center" vertical="center"/>
    </xf>
    <xf numFmtId="4" fontId="28" fillId="0" borderId="0" xfId="217" applyNumberFormat="1" applyFont="1" applyAlignment="1">
      <alignment vertical="center"/>
    </xf>
    <xf numFmtId="0" fontId="97" fillId="7" borderId="225" xfId="217" applyFont="1" applyFill="1" applyBorder="1" applyAlignment="1">
      <alignment horizontal="left" vertical="center" indent="1"/>
    </xf>
    <xf numFmtId="4" fontId="96" fillId="0" borderId="0" xfId="217" applyNumberFormat="1" applyFont="1" applyAlignment="1">
      <alignment vertical="center"/>
    </xf>
    <xf numFmtId="176" fontId="28" fillId="0" borderId="0" xfId="96" applyNumberFormat="1" applyFont="1" applyAlignment="1">
      <alignment vertical="center"/>
    </xf>
    <xf numFmtId="0" fontId="28" fillId="0" borderId="0" xfId="217" applyFont="1" applyAlignment="1">
      <alignment horizontal="center" vertical="center"/>
    </xf>
    <xf numFmtId="0" fontId="51" fillId="0" borderId="0" xfId="217" applyFont="1" applyAlignment="1">
      <alignment horizontal="center"/>
    </xf>
    <xf numFmtId="0" fontId="83" fillId="0" borderId="0" xfId="217" applyFont="1" applyAlignment="1">
      <alignment horizontal="center" vertical="center" wrapText="1"/>
    </xf>
    <xf numFmtId="0" fontId="92" fillId="0" borderId="0" xfId="217" applyFont="1" applyAlignment="1">
      <alignment horizontal="center" vertical="center"/>
    </xf>
    <xf numFmtId="14" fontId="83" fillId="6" borderId="79" xfId="217" applyNumberFormat="1" applyFont="1" applyFill="1" applyBorder="1" applyAlignment="1">
      <alignment horizontal="center" vertical="center"/>
    </xf>
    <xf numFmtId="14" fontId="83" fillId="0" borderId="0" xfId="217" applyNumberFormat="1" applyFont="1" applyAlignment="1">
      <alignment horizontal="center" vertical="center"/>
    </xf>
    <xf numFmtId="4" fontId="83" fillId="6" borderId="66" xfId="217" applyNumberFormat="1" applyFont="1" applyFill="1" applyBorder="1" applyAlignment="1">
      <alignment horizontal="center" vertical="center"/>
    </xf>
    <xf numFmtId="4" fontId="83" fillId="6" borderId="67" xfId="217" applyNumberFormat="1" applyFont="1" applyFill="1" applyBorder="1" applyAlignment="1">
      <alignment horizontal="center" vertical="center"/>
    </xf>
    <xf numFmtId="3" fontId="83" fillId="6" borderId="227" xfId="217" applyNumberFormat="1" applyFont="1" applyFill="1" applyBorder="1" applyAlignment="1">
      <alignment horizontal="center" vertical="center"/>
    </xf>
    <xf numFmtId="4" fontId="83" fillId="6" borderId="68" xfId="217" applyNumberFormat="1" applyFont="1" applyFill="1" applyBorder="1" applyAlignment="1">
      <alignment horizontal="center" vertical="center"/>
    </xf>
    <xf numFmtId="3" fontId="83" fillId="6" borderId="67" xfId="217" applyNumberFormat="1" applyFont="1" applyFill="1" applyBorder="1" applyAlignment="1">
      <alignment horizontal="center" vertical="center"/>
    </xf>
    <xf numFmtId="0" fontId="74" fillId="0" borderId="0" xfId="217" applyFont="1" applyAlignment="1">
      <alignment horizontal="center" vertical="center"/>
    </xf>
    <xf numFmtId="0" fontId="107" fillId="0" borderId="0" xfId="217" applyFont="1" applyAlignment="1">
      <alignment horizontal="center" vertical="center"/>
    </xf>
    <xf numFmtId="14" fontId="99" fillId="0" borderId="80" xfId="217" applyNumberFormat="1" applyFont="1" applyBorder="1" applyAlignment="1">
      <alignment horizontal="center" vertical="center"/>
    </xf>
    <xf numFmtId="14" fontId="99" fillId="0" borderId="0" xfId="217" applyNumberFormat="1" applyFont="1" applyAlignment="1">
      <alignment horizontal="center" vertical="center"/>
    </xf>
    <xf numFmtId="4" fontId="91" fillId="0" borderId="69" xfId="217" applyNumberFormat="1" applyFont="1" applyBorder="1" applyAlignment="1">
      <alignment horizontal="center" vertical="center"/>
    </xf>
    <xf numFmtId="4" fontId="99" fillId="0" borderId="166" xfId="217" applyNumberFormat="1" applyFont="1" applyBorder="1" applyAlignment="1">
      <alignment horizontal="center" vertical="center"/>
    </xf>
    <xf numFmtId="4" fontId="91" fillId="6" borderId="166" xfId="217" applyNumberFormat="1" applyFont="1" applyFill="1" applyBorder="1" applyAlignment="1">
      <alignment horizontal="center" vertical="center"/>
    </xf>
    <xf numFmtId="3" fontId="91" fillId="0" borderId="228" xfId="217" applyNumberFormat="1" applyFont="1" applyBorder="1" applyAlignment="1">
      <alignment horizontal="center" vertical="center"/>
    </xf>
    <xf numFmtId="4" fontId="99" fillId="0" borderId="70" xfId="217" applyNumberFormat="1" applyFont="1" applyBorder="1" applyAlignment="1">
      <alignment horizontal="center" vertical="center"/>
    </xf>
    <xf numFmtId="4" fontId="99" fillId="0" borderId="0" xfId="217" applyNumberFormat="1" applyFont="1" applyAlignment="1">
      <alignment horizontal="center" vertical="center"/>
    </xf>
    <xf numFmtId="4" fontId="99" fillId="0" borderId="69" xfId="217" applyNumberFormat="1" applyFont="1" applyBorder="1" applyAlignment="1">
      <alignment horizontal="center" vertical="center"/>
    </xf>
    <xf numFmtId="0" fontId="100" fillId="0" borderId="0" xfId="217" applyFont="1" applyAlignment="1">
      <alignment horizontal="center" vertical="center"/>
    </xf>
    <xf numFmtId="0" fontId="80" fillId="0" borderId="0" xfId="217" applyFont="1"/>
    <xf numFmtId="11" fontId="99" fillId="0" borderId="65" xfId="217" applyNumberFormat="1" applyFont="1" applyBorder="1" applyAlignment="1">
      <alignment horizontal="center" vertical="center"/>
    </xf>
    <xf numFmtId="14" fontId="91" fillId="0" borderId="0" xfId="217" applyNumberFormat="1" applyFont="1" applyAlignment="1">
      <alignment horizontal="center" vertical="center"/>
    </xf>
    <xf numFmtId="4" fontId="91" fillId="0" borderId="0" xfId="217" applyNumberFormat="1" applyFont="1" applyAlignment="1">
      <alignment horizontal="center" vertical="center"/>
    </xf>
    <xf numFmtId="4" fontId="91" fillId="0" borderId="166" xfId="217" applyNumberFormat="1" applyFont="1" applyBorder="1" applyAlignment="1">
      <alignment horizontal="center" vertical="center"/>
    </xf>
    <xf numFmtId="4" fontId="91" fillId="0" borderId="70" xfId="217" applyNumberFormat="1" applyFont="1" applyBorder="1" applyAlignment="1">
      <alignment horizontal="center" vertical="center"/>
    </xf>
    <xf numFmtId="4" fontId="147" fillId="0" borderId="69" xfId="217" applyNumberFormat="1" applyFont="1" applyBorder="1" applyAlignment="1">
      <alignment horizontal="center" vertical="center"/>
    </xf>
    <xf numFmtId="14" fontId="99" fillId="0" borderId="81" xfId="217" applyNumberFormat="1" applyFont="1" applyBorder="1" applyAlignment="1">
      <alignment horizontal="center" vertical="center"/>
    </xf>
    <xf numFmtId="4" fontId="99" fillId="0" borderId="71" xfId="217" applyNumberFormat="1" applyFont="1" applyBorder="1" applyAlignment="1">
      <alignment horizontal="center" vertical="center"/>
    </xf>
    <xf numFmtId="4" fontId="91" fillId="0" borderId="167" xfId="217" applyNumberFormat="1" applyFont="1" applyBorder="1" applyAlignment="1">
      <alignment horizontal="center" vertical="center"/>
    </xf>
    <xf numFmtId="4" fontId="91" fillId="6" borderId="167" xfId="217" applyNumberFormat="1" applyFont="1" applyFill="1" applyBorder="1" applyAlignment="1">
      <alignment horizontal="center" vertical="center"/>
    </xf>
    <xf numFmtId="3" fontId="91" fillId="0" borderId="229" xfId="217" applyNumberFormat="1" applyFont="1" applyBorder="1" applyAlignment="1">
      <alignment horizontal="center" vertical="center"/>
    </xf>
    <xf numFmtId="4" fontId="91" fillId="0" borderId="72" xfId="217" applyNumberFormat="1" applyFont="1" applyBorder="1" applyAlignment="1">
      <alignment horizontal="center" vertical="center"/>
    </xf>
    <xf numFmtId="14" fontId="28" fillId="0" borderId="0" xfId="217" applyNumberFormat="1" applyFont="1" applyAlignment="1">
      <alignment vertical="center"/>
    </xf>
    <xf numFmtId="3" fontId="28" fillId="0" borderId="0" xfId="217" applyNumberFormat="1" applyFont="1" applyAlignment="1">
      <alignment vertical="center"/>
    </xf>
    <xf numFmtId="0" fontId="26" fillId="11" borderId="88" xfId="103" applyFill="1" applyBorder="1"/>
    <xf numFmtId="0" fontId="51" fillId="11" borderId="230" xfId="103" applyFont="1" applyFill="1" applyBorder="1" applyAlignment="1">
      <alignment horizontal="center" vertical="center"/>
    </xf>
    <xf numFmtId="0" fontId="51" fillId="11" borderId="231" xfId="103" applyFont="1" applyFill="1" applyBorder="1" applyAlignment="1">
      <alignment horizontal="center" vertical="center"/>
    </xf>
    <xf numFmtId="0" fontId="12" fillId="0" borderId="0" xfId="223"/>
    <xf numFmtId="0" fontId="26" fillId="11" borderId="218" xfId="103" applyFill="1" applyBorder="1" applyAlignment="1">
      <alignment vertical="center"/>
    </xf>
    <xf numFmtId="0" fontId="83" fillId="3" borderId="107" xfId="103" applyFont="1" applyFill="1" applyBorder="1" applyAlignment="1">
      <alignment horizontal="center" vertical="center"/>
    </xf>
    <xf numFmtId="0" fontId="26" fillId="11" borderId="142" xfId="103" applyFill="1" applyBorder="1" applyAlignment="1">
      <alignment vertical="center"/>
    </xf>
    <xf numFmtId="0" fontId="26" fillId="11" borderId="218" xfId="103" applyFill="1" applyBorder="1"/>
    <xf numFmtId="0" fontId="28" fillId="11" borderId="0" xfId="103" applyFont="1" applyFill="1" applyAlignment="1">
      <alignment vertical="center"/>
    </xf>
    <xf numFmtId="167" fontId="84" fillId="65" borderId="107" xfId="103" applyNumberFormat="1" applyFont="1" applyFill="1" applyBorder="1" applyAlignment="1">
      <alignment horizontal="right" vertical="center" indent="1"/>
    </xf>
    <xf numFmtId="0" fontId="28" fillId="11" borderId="142" xfId="103" applyFont="1" applyFill="1" applyBorder="1" applyAlignment="1">
      <alignment vertical="center"/>
    </xf>
    <xf numFmtId="167" fontId="26" fillId="0" borderId="0" xfId="217" applyNumberFormat="1"/>
    <xf numFmtId="0" fontId="85" fillId="5" borderId="48" xfId="103" applyFont="1" applyFill="1" applyBorder="1" applyAlignment="1">
      <alignment horizontal="center" vertical="center"/>
    </xf>
    <xf numFmtId="4" fontId="148" fillId="3" borderId="48" xfId="103" applyNumberFormat="1" applyFont="1" applyFill="1" applyBorder="1" applyAlignment="1">
      <alignment horizontal="right" vertical="center" indent="1"/>
    </xf>
    <xf numFmtId="167" fontId="149" fillId="3" borderId="48" xfId="103" applyNumberFormat="1" applyFont="1" applyFill="1" applyBorder="1" applyAlignment="1">
      <alignment horizontal="right" vertical="center" indent="1"/>
    </xf>
    <xf numFmtId="0" fontId="88" fillId="5" borderId="48" xfId="103" applyFont="1" applyFill="1" applyBorder="1" applyAlignment="1">
      <alignment horizontal="center" vertical="center"/>
    </xf>
    <xf numFmtId="0" fontId="26" fillId="11" borderId="142" xfId="103" applyFill="1" applyBorder="1"/>
    <xf numFmtId="4" fontId="26" fillId="0" borderId="0" xfId="217" applyNumberFormat="1"/>
    <xf numFmtId="4" fontId="12" fillId="0" borderId="0" xfId="205" applyNumberFormat="1" applyFont="1"/>
    <xf numFmtId="0" fontId="26" fillId="11" borderId="18" xfId="103" applyFill="1" applyBorder="1"/>
    <xf numFmtId="0" fontId="28" fillId="11" borderId="126" xfId="103" applyFont="1" applyFill="1" applyBorder="1" applyAlignment="1">
      <alignment vertical="center"/>
    </xf>
    <xf numFmtId="0" fontId="28" fillId="11" borderId="114" xfId="103" applyFont="1" applyFill="1" applyBorder="1" applyAlignment="1">
      <alignment vertical="center"/>
    </xf>
    <xf numFmtId="0" fontId="26" fillId="11" borderId="232" xfId="103" applyFill="1" applyBorder="1"/>
    <xf numFmtId="0" fontId="26" fillId="6" borderId="88" xfId="103" applyFill="1" applyBorder="1"/>
    <xf numFmtId="0" fontId="51" fillId="6" borderId="230" xfId="103" applyFont="1" applyFill="1" applyBorder="1" applyAlignment="1">
      <alignment horizontal="center" vertical="center"/>
    </xf>
    <xf numFmtId="0" fontId="51" fillId="6" borderId="231" xfId="103" applyFont="1" applyFill="1" applyBorder="1" applyAlignment="1">
      <alignment horizontal="center" vertical="center"/>
    </xf>
    <xf numFmtId="0" fontId="26" fillId="6" borderId="218" xfId="103" applyFill="1" applyBorder="1" applyAlignment="1">
      <alignment vertical="center"/>
    </xf>
    <xf numFmtId="0" fontId="26" fillId="6" borderId="142" xfId="103" applyFill="1" applyBorder="1" applyAlignment="1">
      <alignment vertical="center"/>
    </xf>
    <xf numFmtId="0" fontId="26" fillId="6" borderId="218" xfId="103" applyFill="1" applyBorder="1"/>
    <xf numFmtId="0" fontId="28" fillId="6" borderId="0" xfId="103" applyFont="1" applyFill="1" applyAlignment="1">
      <alignment vertical="center"/>
    </xf>
    <xf numFmtId="0" fontId="28" fillId="6" borderId="142" xfId="103" applyFont="1" applyFill="1" applyBorder="1" applyAlignment="1">
      <alignment vertical="center"/>
    </xf>
    <xf numFmtId="0" fontId="26" fillId="6" borderId="142" xfId="103" applyFill="1" applyBorder="1"/>
    <xf numFmtId="0" fontId="26" fillId="6" borderId="18" xfId="103" applyFill="1" applyBorder="1"/>
    <xf numFmtId="0" fontId="28" fillId="6" borderId="126" xfId="103" applyFont="1" applyFill="1" applyBorder="1" applyAlignment="1">
      <alignment vertical="center"/>
    </xf>
    <xf numFmtId="0" fontId="28" fillId="6" borderId="114" xfId="103" applyFont="1" applyFill="1" applyBorder="1" applyAlignment="1">
      <alignment vertical="center"/>
    </xf>
    <xf numFmtId="0" fontId="26" fillId="6" borderId="232" xfId="103" applyFill="1" applyBorder="1"/>
    <xf numFmtId="0" fontId="23" fillId="5" borderId="0" xfId="99" applyFill="1"/>
    <xf numFmtId="0" fontId="92" fillId="5" borderId="0" xfId="103" applyFont="1" applyFill="1" applyAlignment="1">
      <alignment vertical="center"/>
    </xf>
    <xf numFmtId="167" fontId="94" fillId="5" borderId="0" xfId="103" applyNumberFormat="1" applyFont="1" applyFill="1" applyAlignment="1">
      <alignment horizontal="right" vertical="center" indent="1"/>
    </xf>
    <xf numFmtId="4" fontId="23" fillId="5" borderId="0" xfId="99" applyNumberFormat="1" applyFill="1"/>
    <xf numFmtId="0" fontId="150" fillId="66" borderId="39" xfId="97" applyFont="1" applyFill="1" applyBorder="1" applyAlignment="1">
      <alignment horizontal="left" indent="2"/>
    </xf>
    <xf numFmtId="0" fontId="150" fillId="66" borderId="162" xfId="97" applyFont="1" applyFill="1" applyBorder="1" applyAlignment="1">
      <alignment horizontal="left" indent="2"/>
    </xf>
    <xf numFmtId="0" fontId="150" fillId="66" borderId="42" xfId="97" applyFont="1" applyFill="1" applyBorder="1" applyAlignment="1">
      <alignment horizontal="left" indent="2"/>
    </xf>
    <xf numFmtId="169" fontId="150" fillId="66" borderId="42" xfId="97" applyNumberFormat="1" applyFont="1" applyFill="1" applyBorder="1" applyAlignment="1">
      <alignment horizontal="left" indent="2"/>
    </xf>
    <xf numFmtId="0" fontId="133" fillId="66" borderId="52" xfId="103" applyFont="1" applyFill="1" applyBorder="1" applyAlignment="1">
      <alignment horizontal="left" vertical="center" indent="1"/>
    </xf>
    <xf numFmtId="0" fontId="50" fillId="66" borderId="52" xfId="103" applyFont="1" applyFill="1" applyBorder="1" applyAlignment="1">
      <alignment vertical="center"/>
    </xf>
    <xf numFmtId="0" fontId="50" fillId="66" borderId="53" xfId="103" applyFont="1" applyFill="1" applyBorder="1"/>
    <xf numFmtId="0" fontId="50" fillId="66" borderId="116" xfId="103" applyFont="1" applyFill="1" applyBorder="1" applyAlignment="1">
      <alignment vertical="center"/>
    </xf>
    <xf numFmtId="0" fontId="50" fillId="66" borderId="117" xfId="103" applyFont="1" applyFill="1" applyBorder="1" applyAlignment="1">
      <alignment vertical="center"/>
    </xf>
    <xf numFmtId="0" fontId="83" fillId="67" borderId="173" xfId="0" applyFont="1" applyFill="1" applyBorder="1" applyAlignment="1">
      <alignment horizontal="center" vertical="center" wrapText="1"/>
    </xf>
    <xf numFmtId="0" fontId="97" fillId="7" borderId="233" xfId="217" applyFont="1" applyFill="1" applyBorder="1" applyAlignment="1">
      <alignment horizontal="left" vertical="center" indent="1"/>
    </xf>
    <xf numFmtId="9" fontId="98" fillId="5" borderId="234" xfId="16" applyFont="1" applyFill="1" applyBorder="1" applyAlignment="1">
      <alignment horizontal="center" vertical="center"/>
    </xf>
    <xf numFmtId="0" fontId="28" fillId="67" borderId="3" xfId="0" applyFont="1" applyFill="1" applyBorder="1" applyAlignment="1">
      <alignment horizontal="center" vertical="center" wrapText="1"/>
    </xf>
    <xf numFmtId="0" fontId="28" fillId="67" borderId="4" xfId="0" applyFont="1" applyFill="1" applyBorder="1" applyAlignment="1">
      <alignment horizontal="center" vertical="center" wrapText="1"/>
    </xf>
    <xf numFmtId="4" fontId="28" fillId="67" borderId="8" xfId="0" applyNumberFormat="1" applyFont="1" applyFill="1" applyBorder="1" applyAlignment="1">
      <alignment horizontal="center" vertical="center" wrapText="1"/>
    </xf>
    <xf numFmtId="4" fontId="28" fillId="67" borderId="4" xfId="0" applyNumberFormat="1" applyFont="1" applyFill="1" applyBorder="1" applyAlignment="1">
      <alignment horizontal="center" vertical="center" wrapText="1"/>
    </xf>
    <xf numFmtId="4" fontId="28" fillId="67" borderId="26" xfId="0" applyNumberFormat="1" applyFont="1" applyFill="1" applyBorder="1" applyAlignment="1">
      <alignment horizontal="center" vertical="center" wrapText="1"/>
    </xf>
    <xf numFmtId="0" fontId="28" fillId="67" borderId="22" xfId="0" applyFont="1" applyFill="1" applyBorder="1" applyAlignment="1">
      <alignment horizontal="center" vertical="center" wrapText="1"/>
    </xf>
    <xf numFmtId="4" fontId="129" fillId="0" borderId="48" xfId="0" applyNumberFormat="1" applyFont="1" applyBorder="1" applyAlignment="1">
      <alignment horizontal="left" vertical="center"/>
    </xf>
    <xf numFmtId="4" fontId="129" fillId="55" borderId="48" xfId="0" applyNumberFormat="1" applyFont="1" applyFill="1" applyBorder="1" applyAlignment="1">
      <alignment horizontal="left" vertical="center"/>
    </xf>
    <xf numFmtId="0" fontId="130" fillId="18" borderId="7" xfId="0" applyFont="1" applyFill="1" applyBorder="1" applyAlignment="1">
      <alignment horizontal="left" vertical="center" indent="1"/>
    </xf>
    <xf numFmtId="4" fontId="26" fillId="0" borderId="236" xfId="218" applyNumberFormat="1" applyBorder="1" applyAlignment="1">
      <alignment horizontal="right" vertical="center" indent="1"/>
    </xf>
    <xf numFmtId="4" fontId="26" fillId="0" borderId="237" xfId="218" applyNumberFormat="1" applyBorder="1" applyAlignment="1">
      <alignment horizontal="right" vertical="center" indent="1"/>
    </xf>
    <xf numFmtId="4" fontId="26" fillId="0" borderId="238" xfId="218" applyNumberFormat="1" applyBorder="1" applyAlignment="1">
      <alignment horizontal="right" vertical="center" indent="1"/>
    </xf>
    <xf numFmtId="0" fontId="153" fillId="67" borderId="239" xfId="0" applyFont="1" applyFill="1" applyBorder="1" applyAlignment="1">
      <alignment horizontal="center" vertical="center" wrapText="1"/>
    </xf>
    <xf numFmtId="0" fontId="153" fillId="67" borderId="240" xfId="0" applyFont="1" applyFill="1" applyBorder="1" applyAlignment="1">
      <alignment horizontal="center" vertical="center" wrapText="1"/>
    </xf>
    <xf numFmtId="0" fontId="153" fillId="67" borderId="241" xfId="0" applyFont="1" applyFill="1" applyBorder="1" applyAlignment="1">
      <alignment horizontal="center" vertical="center" wrapText="1"/>
    </xf>
    <xf numFmtId="0" fontId="50" fillId="66" borderId="58" xfId="103" applyFont="1" applyFill="1" applyBorder="1" applyAlignment="1">
      <alignment vertical="center"/>
    </xf>
    <xf numFmtId="4" fontId="50" fillId="66" borderId="58" xfId="103" applyNumberFormat="1" applyFont="1" applyFill="1" applyBorder="1" applyAlignment="1">
      <alignment vertical="center"/>
    </xf>
    <xf numFmtId="4" fontId="50" fillId="66" borderId="53" xfId="103" applyNumberFormat="1" applyFont="1" applyFill="1" applyBorder="1"/>
    <xf numFmtId="0" fontId="50" fillId="66" borderId="58" xfId="103" applyFont="1" applyFill="1" applyBorder="1"/>
    <xf numFmtId="0" fontId="50" fillId="66" borderId="117" xfId="103" applyFont="1" applyFill="1" applyBorder="1"/>
    <xf numFmtId="0" fontId="28" fillId="67" borderId="12" xfId="0" applyFont="1" applyFill="1" applyBorder="1" applyAlignment="1">
      <alignment horizontal="centerContinuous" vertical="center"/>
    </xf>
    <xf numFmtId="4" fontId="28" fillId="67" borderId="12" xfId="0" applyNumberFormat="1" applyFont="1" applyFill="1" applyBorder="1" applyAlignment="1">
      <alignment horizontal="centerContinuous" vertical="center"/>
    </xf>
    <xf numFmtId="0" fontId="28" fillId="67" borderId="7" xfId="0" applyFont="1" applyFill="1" applyBorder="1" applyAlignment="1">
      <alignment horizontal="centerContinuous" vertical="center"/>
    </xf>
    <xf numFmtId="0" fontId="28" fillId="67" borderId="8" xfId="0" applyFont="1" applyFill="1" applyBorder="1" applyAlignment="1">
      <alignment horizontal="centerContinuous" vertical="center"/>
    </xf>
    <xf numFmtId="0" fontId="28" fillId="67" borderId="11" xfId="0" applyFont="1" applyFill="1" applyBorder="1" applyAlignment="1">
      <alignment horizontal="centerContinuous" vertical="center"/>
    </xf>
    <xf numFmtId="4" fontId="28" fillId="67" borderId="8" xfId="0" applyNumberFormat="1" applyFont="1" applyFill="1" applyBorder="1" applyAlignment="1">
      <alignment horizontal="centerContinuous" vertical="center"/>
    </xf>
    <xf numFmtId="0" fontId="50" fillId="66" borderId="57" xfId="103" applyFont="1" applyFill="1" applyBorder="1" applyAlignment="1">
      <alignment vertical="center"/>
    </xf>
    <xf numFmtId="0" fontId="28" fillId="67" borderId="7" xfId="0" applyFont="1" applyFill="1" applyBorder="1" applyAlignment="1">
      <alignment horizontal="centerContinuous" vertical="center" wrapText="1"/>
    </xf>
    <xf numFmtId="0" fontId="28" fillId="67" borderId="8" xfId="0" applyFont="1" applyFill="1" applyBorder="1" applyAlignment="1">
      <alignment horizontal="centerContinuous" vertical="center" wrapText="1"/>
    </xf>
    <xf numFmtId="0" fontId="28" fillId="67" borderId="11" xfId="0" applyFont="1" applyFill="1" applyBorder="1" applyAlignment="1">
      <alignment horizontal="centerContinuous" vertical="center" wrapText="1"/>
    </xf>
    <xf numFmtId="0" fontId="83" fillId="67" borderId="76" xfId="0" applyFont="1" applyFill="1" applyBorder="1" applyAlignment="1">
      <alignment horizontal="center" vertical="center" wrapText="1"/>
    </xf>
    <xf numFmtId="0" fontId="28" fillId="66" borderId="0" xfId="103" applyFont="1" applyFill="1" applyAlignment="1">
      <alignment horizontal="left" vertical="center" indent="1"/>
    </xf>
    <xf numFmtId="0" fontId="48" fillId="66" borderId="0" xfId="103" applyFont="1" applyFill="1" applyAlignment="1">
      <alignment horizontal="left" vertical="center" indent="1"/>
    </xf>
    <xf numFmtId="0" fontId="30" fillId="66" borderId="0" xfId="103" applyFont="1" applyFill="1" applyAlignment="1">
      <alignment vertical="center"/>
    </xf>
    <xf numFmtId="0" fontId="30" fillId="66" borderId="0" xfId="103" applyFont="1" applyFill="1"/>
    <xf numFmtId="0" fontId="50" fillId="66" borderId="136" xfId="222" applyFont="1" applyFill="1" applyBorder="1"/>
    <xf numFmtId="0" fontId="50" fillId="66" borderId="137" xfId="222" applyFont="1" applyFill="1" applyBorder="1"/>
    <xf numFmtId="0" fontId="50" fillId="66" borderId="53" xfId="103" applyFont="1" applyFill="1" applyBorder="1" applyAlignment="1">
      <alignment vertical="center"/>
    </xf>
    <xf numFmtId="14" fontId="50" fillId="66" borderId="53" xfId="103" applyNumberFormat="1" applyFont="1" applyFill="1" applyBorder="1" applyAlignment="1">
      <alignment horizontal="center" vertical="center"/>
    </xf>
    <xf numFmtId="0" fontId="50" fillId="66" borderId="53" xfId="103" applyFont="1" applyFill="1" applyBorder="1" applyAlignment="1">
      <alignment horizontal="center" vertical="center"/>
    </xf>
    <xf numFmtId="0" fontId="50" fillId="66" borderId="54" xfId="103" applyFont="1" applyFill="1" applyBorder="1" applyAlignment="1">
      <alignment horizontal="center" vertical="center"/>
    </xf>
    <xf numFmtId="0" fontId="133" fillId="66" borderId="52" xfId="103" applyFont="1" applyFill="1" applyBorder="1" applyAlignment="1">
      <alignment vertical="center"/>
    </xf>
    <xf numFmtId="0" fontId="133" fillId="66" borderId="53" xfId="103" applyFont="1" applyFill="1" applyBorder="1"/>
    <xf numFmtId="0" fontId="133" fillId="66" borderId="82" xfId="0" applyFont="1" applyFill="1" applyBorder="1" applyAlignment="1">
      <alignment horizontal="left" vertical="center" indent="1"/>
    </xf>
    <xf numFmtId="0" fontId="102" fillId="66" borderId="93" xfId="0" applyFont="1" applyFill="1" applyBorder="1" applyAlignment="1">
      <alignment vertical="center"/>
    </xf>
    <xf numFmtId="0" fontId="56" fillId="66" borderId="94" xfId="0" applyFont="1" applyFill="1" applyBorder="1"/>
    <xf numFmtId="0" fontId="56" fillId="66" borderId="95" xfId="0" applyFont="1" applyFill="1" applyBorder="1"/>
    <xf numFmtId="0" fontId="83" fillId="67" borderId="219" xfId="97" applyFont="1" applyFill="1" applyBorder="1" applyAlignment="1">
      <alignment vertical="center"/>
    </xf>
    <xf numFmtId="0" fontId="83" fillId="67" borderId="220" xfId="97" applyFont="1" applyFill="1" applyBorder="1" applyAlignment="1">
      <alignment vertical="center"/>
    </xf>
    <xf numFmtId="0" fontId="83" fillId="67" borderId="221" xfId="97" applyFont="1" applyFill="1" applyBorder="1" applyAlignment="1">
      <alignment vertical="center"/>
    </xf>
    <xf numFmtId="0" fontId="83" fillId="67" borderId="222" xfId="97" applyFont="1" applyFill="1" applyBorder="1" applyAlignment="1">
      <alignment vertical="center"/>
    </xf>
    <xf numFmtId="0" fontId="83" fillId="67" borderId="31" xfId="97" applyFont="1" applyFill="1" applyBorder="1" applyAlignment="1">
      <alignment vertical="center"/>
    </xf>
    <xf numFmtId="0" fontId="28" fillId="67" borderId="22" xfId="97" applyFont="1" applyFill="1" applyBorder="1" applyAlignment="1">
      <alignment horizontal="center" vertical="center" wrapText="1"/>
    </xf>
    <xf numFmtId="0" fontId="28" fillId="67" borderId="5" xfId="97" applyFont="1" applyFill="1" applyBorder="1" applyAlignment="1">
      <alignment horizontal="center" vertical="center" wrapText="1"/>
    </xf>
    <xf numFmtId="0" fontId="28" fillId="67" borderId="7" xfId="97" applyFont="1" applyFill="1" applyBorder="1" applyAlignment="1">
      <alignment horizontal="center" vertical="center" wrapText="1"/>
    </xf>
    <xf numFmtId="0" fontId="83" fillId="67" borderId="107" xfId="103" applyFont="1" applyFill="1" applyBorder="1" applyAlignment="1">
      <alignment horizontal="center" vertical="center"/>
    </xf>
    <xf numFmtId="164" fontId="31" fillId="67" borderId="45" xfId="98" applyFont="1" applyFill="1" applyBorder="1" applyAlignment="1">
      <alignment horizontal="center"/>
    </xf>
    <xf numFmtId="0" fontId="81" fillId="5" borderId="0" xfId="103" applyFont="1" applyFill="1" applyAlignment="1">
      <alignment horizontal="center" vertical="center"/>
    </xf>
    <xf numFmtId="4" fontId="105" fillId="67" borderId="2" xfId="102" applyNumberFormat="1" applyFont="1" applyFill="1" applyBorder="1" applyAlignment="1">
      <alignment horizontal="left" vertical="center"/>
    </xf>
    <xf numFmtId="4" fontId="105" fillId="67" borderId="2" xfId="102" applyNumberFormat="1" applyFont="1" applyFill="1" applyBorder="1" applyAlignment="1">
      <alignment vertical="center"/>
    </xf>
    <xf numFmtId="0" fontId="155" fillId="67" borderId="2" xfId="103" applyFont="1" applyFill="1" applyBorder="1" applyAlignment="1">
      <alignment horizontal="center" vertical="center"/>
    </xf>
    <xf numFmtId="0" fontId="156" fillId="67" borderId="14" xfId="103" applyFont="1" applyFill="1" applyBorder="1" applyAlignment="1">
      <alignment horizontal="right" vertical="center"/>
    </xf>
    <xf numFmtId="0" fontId="23" fillId="0" borderId="0" xfId="97" applyAlignment="1">
      <alignment horizontal="left" vertical="center" wrapText="1"/>
    </xf>
    <xf numFmtId="0" fontId="52" fillId="0" borderId="0" xfId="97" applyFont="1" applyAlignment="1">
      <alignment horizontal="center" vertical="center"/>
    </xf>
    <xf numFmtId="9" fontId="98" fillId="5" borderId="226" xfId="16" applyFont="1" applyFill="1" applyBorder="1" applyAlignment="1">
      <alignment horizontal="center" vertical="center"/>
    </xf>
    <xf numFmtId="0" fontId="66" fillId="66" borderId="52" xfId="103" applyFont="1" applyFill="1" applyBorder="1" applyAlignment="1">
      <alignment horizontal="left" vertical="center" indent="1"/>
    </xf>
    <xf numFmtId="0" fontId="26" fillId="5" borderId="0" xfId="217" applyFill="1" applyAlignment="1">
      <alignment horizontal="center" vertical="center"/>
    </xf>
    <xf numFmtId="0" fontId="26" fillId="0" borderId="0" xfId="217" applyAlignment="1">
      <alignment horizontal="center" vertical="center"/>
    </xf>
    <xf numFmtId="0" fontId="111" fillId="2" borderId="0" xfId="217" applyFont="1" applyFill="1" applyAlignment="1">
      <alignment horizontal="center" vertical="center"/>
    </xf>
    <xf numFmtId="0" fontId="26" fillId="5" borderId="0" xfId="217" applyFill="1"/>
    <xf numFmtId="177" fontId="100" fillId="0" borderId="246" xfId="217" applyNumberFormat="1" applyFont="1" applyBorder="1" applyAlignment="1">
      <alignment horizontal="center" vertical="center"/>
    </xf>
    <xf numFmtId="4" fontId="100" fillId="0" borderId="246" xfId="217" applyNumberFormat="1" applyFont="1" applyBorder="1" applyAlignment="1">
      <alignment horizontal="center" vertical="center"/>
    </xf>
    <xf numFmtId="1" fontId="100" fillId="2" borderId="246" xfId="217" applyNumberFormat="1" applyFont="1" applyFill="1" applyBorder="1" applyAlignment="1">
      <alignment horizontal="center" vertical="center"/>
    </xf>
    <xf numFmtId="168" fontId="100" fillId="0" borderId="246" xfId="217" applyNumberFormat="1" applyFont="1" applyBorder="1" applyAlignment="1">
      <alignment horizontal="center" vertical="center"/>
    </xf>
    <xf numFmtId="4" fontId="83" fillId="5" borderId="246" xfId="217" applyNumberFormat="1" applyFont="1" applyFill="1" applyBorder="1" applyAlignment="1">
      <alignment horizontal="right" vertical="center"/>
    </xf>
    <xf numFmtId="177" fontId="26" fillId="0" borderId="0" xfId="217" applyNumberFormat="1"/>
    <xf numFmtId="0" fontId="158" fillId="0" borderId="0" xfId="217" applyFont="1"/>
    <xf numFmtId="167" fontId="26" fillId="5" borderId="0" xfId="217" applyNumberFormat="1" applyFill="1"/>
    <xf numFmtId="4" fontId="100" fillId="0" borderId="0" xfId="217" applyNumberFormat="1" applyFont="1" applyAlignment="1">
      <alignment horizontal="right" vertical="center"/>
    </xf>
    <xf numFmtId="178" fontId="157" fillId="2" borderId="0" xfId="217" applyNumberFormat="1" applyFont="1" applyFill="1" applyAlignment="1">
      <alignment horizontal="center" vertical="center"/>
    </xf>
    <xf numFmtId="1" fontId="100" fillId="2" borderId="0" xfId="217" applyNumberFormat="1" applyFont="1" applyFill="1" applyAlignment="1">
      <alignment horizontal="center" vertical="center"/>
    </xf>
    <xf numFmtId="168" fontId="83" fillId="2" borderId="0" xfId="217" applyNumberFormat="1" applyFont="1" applyFill="1" applyAlignment="1">
      <alignment horizontal="center" vertical="center"/>
    </xf>
    <xf numFmtId="0" fontId="30" fillId="67" borderId="60" xfId="217" applyFont="1" applyFill="1" applyBorder="1" applyAlignment="1">
      <alignment horizontal="left" vertical="center" indent="1"/>
    </xf>
    <xf numFmtId="0" fontId="30" fillId="67" borderId="61" xfId="217" applyFont="1" applyFill="1" applyBorder="1" applyAlignment="1">
      <alignment horizontal="left" vertical="center" indent="1"/>
    </xf>
    <xf numFmtId="49" fontId="28" fillId="67" borderId="61" xfId="217" applyNumberFormat="1" applyFont="1" applyFill="1" applyBorder="1" applyAlignment="1">
      <alignment horizontal="center" vertical="center"/>
    </xf>
    <xf numFmtId="0" fontId="28" fillId="67" borderId="61" xfId="217" applyFont="1" applyFill="1" applyBorder="1"/>
    <xf numFmtId="4" fontId="28" fillId="67" borderId="61" xfId="217" applyNumberFormat="1" applyFont="1" applyFill="1" applyBorder="1" applyAlignment="1">
      <alignment horizontal="right" vertical="center"/>
    </xf>
    <xf numFmtId="4" fontId="28" fillId="67" borderId="61" xfId="217" applyNumberFormat="1" applyFont="1" applyFill="1" applyBorder="1" applyAlignment="1">
      <alignment horizontal="center" vertical="center"/>
    </xf>
    <xf numFmtId="164" fontId="154" fillId="3" borderId="45" xfId="98" applyFont="1" applyFill="1" applyBorder="1" applyAlignment="1">
      <alignment horizontal="center"/>
    </xf>
    <xf numFmtId="0" fontId="81" fillId="5" borderId="0" xfId="103" applyFont="1" applyFill="1" applyAlignment="1">
      <alignment vertical="center"/>
    </xf>
    <xf numFmtId="14" fontId="28" fillId="0" borderId="0" xfId="217" applyNumberFormat="1" applyFont="1"/>
    <xf numFmtId="14" fontId="28" fillId="5" borderId="0" xfId="103" applyNumberFormat="1" applyFont="1" applyFill="1" applyAlignment="1">
      <alignment vertical="center"/>
    </xf>
    <xf numFmtId="0" fontId="45" fillId="0" borderId="107" xfId="97" applyFont="1" applyBorder="1" applyAlignment="1">
      <alignment horizontal="left" vertical="center" wrapText="1"/>
    </xf>
    <xf numFmtId="0" fontId="28" fillId="67" borderId="22" xfId="0" applyFont="1" applyFill="1" applyBorder="1" applyAlignment="1">
      <alignment horizontal="centerContinuous" vertical="center" wrapText="1"/>
    </xf>
    <xf numFmtId="0" fontId="81" fillId="0" borderId="0" xfId="103" applyFont="1" applyAlignment="1">
      <alignment vertical="center"/>
    </xf>
    <xf numFmtId="14" fontId="28" fillId="0" borderId="0" xfId="103" applyNumberFormat="1" applyFont="1"/>
    <xf numFmtId="4" fontId="73" fillId="0" borderId="247" xfId="218" applyNumberFormat="1" applyFont="1" applyBorder="1" applyAlignment="1">
      <alignment horizontal="right" vertical="center" indent="1"/>
    </xf>
    <xf numFmtId="4" fontId="26" fillId="0" borderId="248" xfId="218" applyNumberFormat="1" applyBorder="1" applyAlignment="1">
      <alignment horizontal="right" vertical="center" indent="1"/>
    </xf>
    <xf numFmtId="0" fontId="153" fillId="67" borderId="249" xfId="0" applyFont="1" applyFill="1" applyBorder="1" applyAlignment="1">
      <alignment horizontal="center" vertical="center" wrapText="1"/>
    </xf>
    <xf numFmtId="0" fontId="153" fillId="67" borderId="250" xfId="0" applyFont="1" applyFill="1" applyBorder="1" applyAlignment="1">
      <alignment horizontal="center" vertical="center" wrapText="1"/>
    </xf>
    <xf numFmtId="0" fontId="153" fillId="67" borderId="251" xfId="0" applyFont="1" applyFill="1" applyBorder="1" applyAlignment="1">
      <alignment horizontal="center" vertical="center" wrapText="1"/>
    </xf>
    <xf numFmtId="14" fontId="28" fillId="3" borderId="138" xfId="217" applyNumberFormat="1" applyFont="1" applyFill="1" applyBorder="1" applyAlignment="1">
      <alignment horizontal="center" vertical="center"/>
    </xf>
    <xf numFmtId="4" fontId="26" fillId="0" borderId="252" xfId="218" applyNumberFormat="1" applyBorder="1" applyAlignment="1">
      <alignment horizontal="right" vertical="center" indent="1"/>
    </xf>
    <xf numFmtId="14" fontId="68" fillId="3" borderId="143" xfId="217" applyNumberFormat="1" applyFont="1" applyFill="1" applyBorder="1" applyAlignment="1">
      <alignment horizontal="center" vertical="center"/>
    </xf>
    <xf numFmtId="4" fontId="73" fillId="0" borderId="253" xfId="218" applyNumberFormat="1" applyFont="1" applyBorder="1" applyAlignment="1">
      <alignment horizontal="right" vertical="center" indent="1"/>
    </xf>
    <xf numFmtId="14" fontId="68" fillId="3" borderId="254" xfId="217" applyNumberFormat="1" applyFont="1" applyFill="1" applyBorder="1" applyAlignment="1">
      <alignment horizontal="center" vertical="center"/>
    </xf>
    <xf numFmtId="4" fontId="73" fillId="0" borderId="255" xfId="218" applyNumberFormat="1" applyFont="1" applyBorder="1" applyAlignment="1">
      <alignment horizontal="right" vertical="center" indent="1"/>
    </xf>
    <xf numFmtId="4" fontId="73" fillId="0" borderId="256" xfId="218" applyNumberFormat="1" applyFont="1" applyBorder="1" applyAlignment="1">
      <alignment horizontal="right" vertical="center" indent="1"/>
    </xf>
    <xf numFmtId="4" fontId="26" fillId="0" borderId="257" xfId="218" applyNumberFormat="1" applyBorder="1" applyAlignment="1">
      <alignment horizontal="right" vertical="center" indent="1"/>
    </xf>
    <xf numFmtId="4" fontId="73" fillId="0" borderId="258" xfId="218" applyNumberFormat="1" applyFont="1" applyBorder="1" applyAlignment="1">
      <alignment horizontal="right" vertical="center" indent="1"/>
    </xf>
    <xf numFmtId="4" fontId="73" fillId="0" borderId="259" xfId="218" applyNumberFormat="1" applyFont="1" applyBorder="1" applyAlignment="1">
      <alignment horizontal="right" vertical="center" indent="1"/>
    </xf>
    <xf numFmtId="0" fontId="153" fillId="67" borderId="260" xfId="0" applyFont="1" applyFill="1" applyBorder="1" applyAlignment="1">
      <alignment horizontal="center" vertical="center" wrapText="1"/>
    </xf>
    <xf numFmtId="4" fontId="26" fillId="0" borderId="261" xfId="218" applyNumberFormat="1" applyBorder="1" applyAlignment="1">
      <alignment horizontal="right" vertical="center" indent="1"/>
    </xf>
    <xf numFmtId="4" fontId="73" fillId="0" borderId="262" xfId="218" applyNumberFormat="1" applyFont="1" applyBorder="1" applyAlignment="1">
      <alignment horizontal="right" vertical="center" indent="1"/>
    </xf>
    <xf numFmtId="4" fontId="73" fillId="0" borderId="263" xfId="218" applyNumberFormat="1" applyFont="1" applyBorder="1" applyAlignment="1">
      <alignment horizontal="right" vertical="center" indent="1"/>
    </xf>
    <xf numFmtId="0" fontId="153" fillId="67" borderId="7" xfId="0" applyFont="1" applyFill="1" applyBorder="1" applyAlignment="1">
      <alignment horizontal="center" vertical="center" wrapText="1"/>
    </xf>
    <xf numFmtId="0" fontId="142" fillId="0" borderId="0" xfId="0" applyFont="1" applyAlignment="1">
      <alignment horizontal="justify" vertical="center"/>
    </xf>
    <xf numFmtId="4" fontId="160" fillId="0" borderId="8" xfId="207" applyNumberFormat="1" applyFont="1" applyBorder="1" applyAlignment="1">
      <alignment horizontal="centerContinuous" vertical="center"/>
    </xf>
    <xf numFmtId="4" fontId="160" fillId="0" borderId="11" xfId="207" applyNumberFormat="1" applyFont="1" applyBorder="1" applyAlignment="1">
      <alignment horizontal="centerContinuous" vertical="center"/>
    </xf>
    <xf numFmtId="0" fontId="26" fillId="0" borderId="0" xfId="207" applyAlignment="1"/>
    <xf numFmtId="4" fontId="0" fillId="0" borderId="270" xfId="215" applyNumberFormat="1" applyFont="1" applyBorder="1" applyAlignment="1">
      <alignment horizontal="center" vertical="center" wrapText="1"/>
    </xf>
    <xf numFmtId="4" fontId="26" fillId="0" borderId="271" xfId="207" applyNumberFormat="1" applyBorder="1" applyAlignment="1">
      <alignment horizontal="center" vertical="center"/>
    </xf>
    <xf numFmtId="4" fontId="26" fillId="0" borderId="270" xfId="207" applyNumberFormat="1" applyBorder="1" applyAlignment="1">
      <alignment horizontal="center" vertical="center"/>
    </xf>
    <xf numFmtId="4" fontId="26" fillId="0" borderId="272" xfId="207" applyNumberFormat="1" applyBorder="1" applyAlignment="1">
      <alignment horizontal="center" vertical="center"/>
    </xf>
    <xf numFmtId="14" fontId="26" fillId="0" borderId="0" xfId="207" applyNumberFormat="1" applyAlignment="1"/>
    <xf numFmtId="4" fontId="0" fillId="0" borderId="0" xfId="215" applyNumberFormat="1" applyFont="1" applyAlignment="1"/>
    <xf numFmtId="4" fontId="26" fillId="0" borderId="0" xfId="207" applyNumberFormat="1" applyAlignment="1"/>
    <xf numFmtId="49" fontId="26" fillId="0" borderId="0" xfId="207" applyNumberFormat="1" applyAlignment="1"/>
    <xf numFmtId="3" fontId="26" fillId="0" borderId="0" xfId="207" applyNumberFormat="1" applyAlignment="1"/>
    <xf numFmtId="14" fontId="160" fillId="0" borderId="7" xfId="207" applyNumberFormat="1" applyFont="1" applyBorder="1" applyAlignment="1">
      <alignment horizontal="centerContinuous" vertical="center"/>
    </xf>
    <xf numFmtId="3" fontId="0" fillId="0" borderId="0" xfId="0" applyNumberFormat="1"/>
    <xf numFmtId="14" fontId="91" fillId="0" borderId="113" xfId="228" applyNumberFormat="1" applyFont="1" applyBorder="1" applyAlignment="1">
      <alignment horizontal="center" vertical="center"/>
    </xf>
    <xf numFmtId="14" fontId="91" fillId="0" borderId="274" xfId="228" applyNumberFormat="1" applyFont="1" applyBorder="1" applyAlignment="1">
      <alignment horizontal="center" vertical="center"/>
    </xf>
    <xf numFmtId="164" fontId="80" fillId="62" borderId="264" xfId="79" applyFont="1" applyFill="1" applyBorder="1" applyAlignment="1">
      <alignment horizontal="center" vertical="center" wrapText="1"/>
    </xf>
    <xf numFmtId="164" fontId="80" fillId="62" borderId="266" xfId="79" applyFont="1" applyFill="1" applyBorder="1" applyAlignment="1">
      <alignment horizontal="center" vertical="center" wrapText="1"/>
    </xf>
    <xf numFmtId="164" fontId="80" fillId="62" borderId="275" xfId="79" applyFont="1" applyFill="1" applyBorder="1" applyAlignment="1">
      <alignment horizontal="center" vertical="center" wrapText="1"/>
    </xf>
    <xf numFmtId="4" fontId="68" fillId="4" borderId="35" xfId="0" applyNumberFormat="1" applyFont="1" applyFill="1" applyBorder="1" applyAlignment="1">
      <alignment horizontal="right" vertical="center" wrapText="1"/>
    </xf>
    <xf numFmtId="4" fontId="68" fillId="4" borderId="163" xfId="0" applyNumberFormat="1" applyFont="1" applyFill="1" applyBorder="1" applyAlignment="1">
      <alignment horizontal="right" vertical="center" wrapText="1"/>
    </xf>
    <xf numFmtId="4" fontId="68" fillId="0" borderId="33" xfId="0" applyNumberFormat="1" applyFont="1" applyBorder="1" applyAlignment="1">
      <alignment horizontal="right" vertical="center" wrapText="1"/>
    </xf>
    <xf numFmtId="165" fontId="68" fillId="4" borderId="46" xfId="0" applyNumberFormat="1" applyFont="1" applyFill="1" applyBorder="1" applyAlignment="1">
      <alignment horizontal="right" vertical="center" wrapText="1"/>
    </xf>
    <xf numFmtId="165" fontId="68" fillId="4" borderId="34" xfId="0" applyNumberFormat="1" applyFont="1" applyFill="1" applyBorder="1" applyAlignment="1">
      <alignment horizontal="right" vertical="center" wrapText="1"/>
    </xf>
    <xf numFmtId="4" fontId="68" fillId="4" borderId="38" xfId="0" applyNumberFormat="1" applyFont="1" applyFill="1" applyBorder="1" applyAlignment="1">
      <alignment horizontal="right" vertical="center" wrapText="1"/>
    </xf>
    <xf numFmtId="4" fontId="68" fillId="4" borderId="273" xfId="0" applyNumberFormat="1" applyFont="1" applyFill="1" applyBorder="1" applyAlignment="1">
      <alignment horizontal="right" vertical="center" wrapText="1"/>
    </xf>
    <xf numFmtId="4" fontId="68" fillId="0" borderId="36" xfId="0" applyNumberFormat="1" applyFont="1" applyBorder="1" applyAlignment="1">
      <alignment horizontal="right" vertical="center" wrapText="1"/>
    </xf>
    <xf numFmtId="165" fontId="68" fillId="4" borderId="277" xfId="0" applyNumberFormat="1" applyFont="1" applyFill="1" applyBorder="1" applyAlignment="1">
      <alignment horizontal="right" vertical="center" wrapText="1"/>
    </xf>
    <xf numFmtId="165" fontId="68" fillId="4" borderId="37" xfId="0" applyNumberFormat="1" applyFont="1" applyFill="1" applyBorder="1" applyAlignment="1">
      <alignment horizontal="right" vertical="center" wrapText="1"/>
    </xf>
    <xf numFmtId="4" fontId="68" fillId="0" borderId="46" xfId="0" applyNumberFormat="1" applyFont="1" applyBorder="1" applyAlignment="1">
      <alignment horizontal="right" vertical="center" wrapText="1"/>
    </xf>
    <xf numFmtId="4" fontId="68" fillId="4" borderId="46" xfId="0" applyNumberFormat="1" applyFont="1" applyFill="1" applyBorder="1" applyAlignment="1">
      <alignment horizontal="right" vertical="center" wrapText="1"/>
    </xf>
    <xf numFmtId="4" fontId="68" fillId="4" borderId="33" xfId="0" applyNumberFormat="1" applyFont="1" applyFill="1" applyBorder="1" applyAlignment="1">
      <alignment horizontal="right" vertical="center" wrapText="1"/>
    </xf>
    <xf numFmtId="4" fontId="68" fillId="4" borderId="154" xfId="0" applyNumberFormat="1" applyFont="1" applyFill="1" applyBorder="1" applyAlignment="1">
      <alignment horizontal="right" vertical="center" wrapText="1"/>
    </xf>
    <xf numFmtId="4" fontId="26" fillId="0" borderId="56" xfId="0" applyNumberFormat="1" applyFont="1" applyBorder="1" applyAlignment="1">
      <alignment horizontal="right" vertical="center" wrapText="1"/>
    </xf>
    <xf numFmtId="4" fontId="26" fillId="0" borderId="163" xfId="0" applyNumberFormat="1" applyFont="1" applyBorder="1" applyAlignment="1">
      <alignment horizontal="right" vertical="center" wrapText="1"/>
    </xf>
    <xf numFmtId="4" fontId="68" fillId="4" borderId="161" xfId="0" applyNumberFormat="1" applyFont="1" applyFill="1" applyBorder="1" applyAlignment="1">
      <alignment horizontal="right" vertical="center" wrapText="1"/>
    </xf>
    <xf numFmtId="4" fontId="91" fillId="0" borderId="36" xfId="0" applyNumberFormat="1" applyFont="1" applyBorder="1" applyAlignment="1">
      <alignment horizontal="right" vertical="center" wrapText="1"/>
    </xf>
    <xf numFmtId="4" fontId="91" fillId="0" borderId="273" xfId="0" applyNumberFormat="1" applyFont="1" applyBorder="1" applyAlignment="1">
      <alignment horizontal="right" vertical="center" wrapText="1"/>
    </xf>
    <xf numFmtId="4" fontId="68" fillId="4" borderId="278" xfId="0" applyNumberFormat="1" applyFont="1" applyFill="1" applyBorder="1" applyAlignment="1">
      <alignment horizontal="right" vertical="center" wrapText="1"/>
    </xf>
    <xf numFmtId="4" fontId="68" fillId="4" borderId="279" xfId="0" applyNumberFormat="1" applyFont="1" applyFill="1" applyBorder="1" applyAlignment="1">
      <alignment horizontal="right" vertical="center" wrapText="1"/>
    </xf>
    <xf numFmtId="4" fontId="26" fillId="0" borderId="33" xfId="0" applyNumberFormat="1" applyFont="1" applyBorder="1" applyAlignment="1">
      <alignment horizontal="right" vertical="center" wrapText="1"/>
    </xf>
    <xf numFmtId="4" fontId="68" fillId="4" borderId="56" xfId="0" applyNumberFormat="1" applyFont="1" applyFill="1" applyBorder="1" applyAlignment="1">
      <alignment horizontal="right" vertical="center" wrapText="1"/>
    </xf>
    <xf numFmtId="4" fontId="68" fillId="4" borderId="34" xfId="0" applyNumberFormat="1" applyFont="1" applyFill="1" applyBorder="1" applyAlignment="1">
      <alignment horizontal="right" vertical="center" wrapText="1"/>
    </xf>
    <xf numFmtId="4" fontId="91" fillId="0" borderId="35" xfId="79" applyNumberFormat="1" applyFont="1" applyFill="1" applyBorder="1" applyAlignment="1">
      <alignment horizontal="center" vertical="center" wrapText="1"/>
    </xf>
    <xf numFmtId="4" fontId="26" fillId="0" borderId="35" xfId="79" applyNumberFormat="1" applyFont="1" applyFill="1" applyBorder="1" applyAlignment="1">
      <alignment horizontal="center" vertical="center" wrapText="1"/>
    </xf>
    <xf numFmtId="4" fontId="91" fillId="0" borderId="38" xfId="79" applyNumberFormat="1" applyFont="1" applyFill="1" applyBorder="1" applyAlignment="1">
      <alignment horizontal="center" vertical="center" wrapText="1"/>
    </xf>
    <xf numFmtId="14" fontId="28" fillId="0" borderId="146" xfId="0" applyNumberFormat="1" applyFont="1" applyBorder="1" applyAlignment="1">
      <alignment horizontal="center" vertical="center"/>
    </xf>
    <xf numFmtId="14" fontId="91" fillId="0" borderId="148" xfId="228" applyNumberFormat="1" applyFont="1" applyBorder="1" applyAlignment="1">
      <alignment horizontal="center" vertical="center"/>
    </xf>
    <xf numFmtId="14" fontId="91" fillId="0" borderId="280" xfId="228" applyNumberFormat="1" applyFont="1" applyBorder="1" applyAlignment="1">
      <alignment horizontal="center" vertical="center"/>
    </xf>
    <xf numFmtId="14" fontId="28" fillId="0" borderId="32" xfId="0" applyNumberFormat="1" applyFont="1" applyBorder="1" applyAlignment="1">
      <alignment horizontal="center" vertical="center"/>
    </xf>
    <xf numFmtId="14" fontId="91" fillId="0" borderId="281" xfId="228" applyNumberFormat="1" applyFont="1" applyBorder="1" applyAlignment="1">
      <alignment horizontal="center" vertical="center"/>
    </xf>
    <xf numFmtId="14" fontId="91" fillId="0" borderId="282" xfId="228" applyNumberFormat="1" applyFont="1" applyBorder="1" applyAlignment="1">
      <alignment horizontal="center" vertical="center"/>
    </xf>
    <xf numFmtId="4" fontId="26" fillId="0" borderId="146" xfId="79" applyNumberFormat="1" applyFont="1" applyFill="1" applyBorder="1" applyAlignment="1">
      <alignment horizontal="center" vertical="center" wrapText="1"/>
    </xf>
    <xf numFmtId="4" fontId="26" fillId="0" borderId="163" xfId="79" applyNumberFormat="1" applyFont="1" applyFill="1" applyBorder="1" applyAlignment="1">
      <alignment horizontal="center" vertical="center" wrapText="1"/>
    </xf>
    <xf numFmtId="4" fontId="26" fillId="0" borderId="283" xfId="79" applyNumberFormat="1" applyFont="1" applyFill="1" applyBorder="1" applyAlignment="1">
      <alignment horizontal="center" vertical="center" wrapText="1"/>
    </xf>
    <xf numFmtId="4" fontId="91" fillId="0" borderId="163" xfId="79" applyNumberFormat="1" applyFont="1" applyFill="1" applyBorder="1" applyAlignment="1">
      <alignment horizontal="center" vertical="center" wrapText="1"/>
    </xf>
    <xf numFmtId="4" fontId="68" fillId="4" borderId="163" xfId="79" applyNumberFormat="1" applyFont="1" applyFill="1" applyBorder="1" applyAlignment="1">
      <alignment horizontal="center" vertical="center" wrapText="1"/>
    </xf>
    <xf numFmtId="4" fontId="68" fillId="4" borderId="115" xfId="79" applyNumberFormat="1" applyFont="1" applyFill="1" applyBorder="1" applyAlignment="1">
      <alignment horizontal="center" vertical="center" wrapText="1"/>
    </xf>
    <xf numFmtId="4" fontId="68" fillId="4" borderId="145" xfId="79" applyNumberFormat="1" applyFont="1" applyFill="1" applyBorder="1" applyAlignment="1">
      <alignment horizontal="center" vertical="center" wrapText="1"/>
    </xf>
    <xf numFmtId="4" fontId="91" fillId="0" borderId="36" xfId="79" applyNumberFormat="1" applyFont="1" applyFill="1" applyBorder="1" applyAlignment="1">
      <alignment horizontal="center" vertical="center" wrapText="1"/>
    </xf>
    <xf numFmtId="4" fontId="91" fillId="0" borderId="273" xfId="79" applyNumberFormat="1" applyFont="1" applyFill="1" applyBorder="1" applyAlignment="1">
      <alignment horizontal="center" vertical="center" wrapText="1"/>
    </xf>
    <xf numFmtId="4" fontId="68" fillId="4" borderId="33" xfId="0" applyNumberFormat="1" applyFont="1" applyFill="1" applyBorder="1" applyAlignment="1">
      <alignment horizontal="center" vertical="center" wrapText="1"/>
    </xf>
    <xf numFmtId="4" fontId="26" fillId="0" borderId="33" xfId="0" applyNumberFormat="1" applyFont="1" applyBorder="1" applyAlignment="1">
      <alignment horizontal="center" vertical="center" wrapText="1"/>
    </xf>
    <xf numFmtId="4" fontId="91" fillId="0" borderId="33" xfId="0" applyNumberFormat="1" applyFont="1" applyBorder="1" applyAlignment="1">
      <alignment horizontal="center" vertical="center" wrapText="1"/>
    </xf>
    <xf numFmtId="4" fontId="68" fillId="4" borderId="36" xfId="0" applyNumberFormat="1" applyFont="1" applyFill="1" applyBorder="1" applyAlignment="1">
      <alignment horizontal="center" vertical="center" wrapText="1"/>
    </xf>
    <xf numFmtId="4" fontId="91" fillId="0" borderId="36" xfId="0" applyNumberFormat="1" applyFont="1" applyBorder="1" applyAlignment="1">
      <alignment horizontal="center" vertical="center" wrapText="1"/>
    </xf>
    <xf numFmtId="4" fontId="68" fillId="4" borderId="34" xfId="0" applyNumberFormat="1" applyFont="1" applyFill="1" applyBorder="1" applyAlignment="1">
      <alignment horizontal="center" vertical="center" wrapText="1"/>
    </xf>
    <xf numFmtId="4" fontId="68" fillId="4" borderId="37" xfId="0" applyNumberFormat="1" applyFont="1" applyFill="1" applyBorder="1" applyAlignment="1">
      <alignment horizontal="center" vertical="center" wrapText="1"/>
    </xf>
    <xf numFmtId="4" fontId="68" fillId="4" borderId="36" xfId="79" applyNumberFormat="1" applyFont="1" applyFill="1" applyBorder="1" applyAlignment="1">
      <alignment horizontal="center" vertical="center" wrapText="1"/>
    </xf>
    <xf numFmtId="4" fontId="68" fillId="4" borderId="123" xfId="0" applyNumberFormat="1" applyFont="1" applyFill="1" applyBorder="1" applyAlignment="1">
      <alignment horizontal="center" vertical="center" wrapText="1"/>
    </xf>
    <xf numFmtId="4" fontId="68" fillId="3" borderId="276" xfId="0" applyNumberFormat="1" applyFont="1" applyFill="1" applyBorder="1" applyAlignment="1">
      <alignment horizontal="center" vertical="center" wrapText="1"/>
    </xf>
    <xf numFmtId="4" fontId="28" fillId="58" borderId="270" xfId="0" applyNumberFormat="1" applyFont="1" applyFill="1" applyBorder="1"/>
    <xf numFmtId="14" fontId="91" fillId="3" borderId="284" xfId="228" applyNumberFormat="1" applyFont="1" applyFill="1" applyBorder="1" applyAlignment="1">
      <alignment horizontal="center" vertical="center"/>
    </xf>
    <xf numFmtId="14" fontId="28" fillId="3" borderId="284" xfId="228" applyNumberFormat="1" applyFont="1" applyFill="1" applyBorder="1" applyAlignment="1">
      <alignment horizontal="center" vertical="center"/>
    </xf>
    <xf numFmtId="4" fontId="91" fillId="0" borderId="172" xfId="218" applyNumberFormat="1" applyFont="1" applyBorder="1" applyAlignment="1">
      <alignment horizontal="right" vertical="center" indent="1"/>
    </xf>
    <xf numFmtId="4" fontId="91" fillId="0" borderId="171" xfId="218" applyNumberFormat="1" applyFont="1" applyBorder="1" applyAlignment="1">
      <alignment horizontal="right" vertical="center" indent="1"/>
    </xf>
    <xf numFmtId="10" fontId="26" fillId="0" borderId="172" xfId="16" applyNumberFormat="1" applyBorder="1" applyAlignment="1">
      <alignment horizontal="right" vertical="center" indent="1"/>
    </xf>
    <xf numFmtId="10" fontId="91" fillId="0" borderId="172" xfId="16" applyNumberFormat="1" applyFont="1" applyBorder="1" applyAlignment="1">
      <alignment horizontal="right" vertical="center" indent="1"/>
    </xf>
    <xf numFmtId="14" fontId="132" fillId="0" borderId="0" xfId="97" applyNumberFormat="1" applyFont="1" applyAlignment="1">
      <alignment horizontal="left" vertical="center" indent="2"/>
    </xf>
    <xf numFmtId="14" fontId="68" fillId="3" borderId="284" xfId="228" applyNumberFormat="1" applyFont="1" applyFill="1" applyBorder="1" applyAlignment="1">
      <alignment horizontal="center" vertical="center"/>
    </xf>
    <xf numFmtId="14" fontId="28" fillId="0" borderId="0" xfId="103" applyNumberFormat="1" applyFont="1" applyAlignment="1">
      <alignment horizontal="left"/>
    </xf>
    <xf numFmtId="14" fontId="28" fillId="3" borderId="285" xfId="228" applyNumberFormat="1" applyFont="1" applyFill="1" applyBorder="1" applyAlignment="1">
      <alignment horizontal="center" vertical="center"/>
    </xf>
    <xf numFmtId="4" fontId="26" fillId="0" borderId="286" xfId="218" applyNumberFormat="1" applyBorder="1" applyAlignment="1">
      <alignment horizontal="right" vertical="center" indent="1"/>
    </xf>
    <xf numFmtId="4" fontId="73" fillId="0" borderId="287" xfId="218" applyNumberFormat="1" applyFont="1" applyBorder="1" applyAlignment="1">
      <alignment horizontal="right" vertical="center" indent="1"/>
    </xf>
    <xf numFmtId="0" fontId="133" fillId="66" borderId="288" xfId="103" applyFont="1" applyFill="1" applyBorder="1" applyAlignment="1">
      <alignment horizontal="left" vertical="center" indent="1"/>
    </xf>
    <xf numFmtId="4" fontId="91" fillId="0" borderId="236" xfId="218" applyNumberFormat="1" applyFont="1" applyBorder="1" applyAlignment="1">
      <alignment horizontal="right" vertical="center" indent="1"/>
    </xf>
    <xf numFmtId="4" fontId="142" fillId="0" borderId="0" xfId="0" applyNumberFormat="1" applyFont="1" applyAlignment="1">
      <alignment horizontal="right" vertical="center"/>
    </xf>
    <xf numFmtId="10" fontId="10" fillId="0" borderId="0" xfId="0" applyNumberFormat="1" applyFont="1" applyAlignment="1">
      <alignment horizontal="center" vertical="center"/>
    </xf>
    <xf numFmtId="3" fontId="10" fillId="0" borderId="0" xfId="0" applyNumberFormat="1" applyFont="1" applyAlignment="1">
      <alignment horizontal="center" vertical="center"/>
    </xf>
    <xf numFmtId="10" fontId="10" fillId="0" borderId="0" xfId="216" applyNumberFormat="1" applyFont="1" applyAlignment="1">
      <alignment horizontal="center" vertical="center"/>
    </xf>
    <xf numFmtId="3" fontId="10" fillId="0" borderId="0" xfId="216" applyNumberFormat="1" applyFont="1" applyAlignment="1">
      <alignment horizontal="center" vertical="center"/>
    </xf>
    <xf numFmtId="10" fontId="142" fillId="0" borderId="29" xfId="216" applyNumberFormat="1" applyFont="1" applyBorder="1" applyAlignment="1">
      <alignment vertical="center" wrapText="1"/>
    </xf>
    <xf numFmtId="0" fontId="125" fillId="0" borderId="0" xfId="180" applyBorder="1" applyAlignment="1"/>
    <xf numFmtId="10" fontId="9" fillId="0" borderId="0" xfId="0" applyNumberFormat="1" applyFont="1" applyAlignment="1">
      <alignment horizontal="center" vertical="center"/>
    </xf>
    <xf numFmtId="3" fontId="9" fillId="0" borderId="0" xfId="0" applyNumberFormat="1" applyFont="1" applyAlignment="1">
      <alignment horizontal="center" vertical="center"/>
    </xf>
    <xf numFmtId="0" fontId="8" fillId="0" borderId="0" xfId="229"/>
    <xf numFmtId="0" fontId="163" fillId="0" borderId="0" xfId="229" applyFont="1" applyAlignment="1">
      <alignment horizontal="left" indent="2"/>
    </xf>
    <xf numFmtId="0" fontId="97" fillId="7" borderId="290" xfId="205" applyNumberFormat="1" applyFont="1" applyFill="1" applyBorder="1" applyAlignment="1">
      <alignment horizontal="left" vertical="center" indent="1"/>
    </xf>
    <xf numFmtId="175" fontId="98" fillId="5" borderId="291" xfId="205" applyNumberFormat="1" applyFont="1" applyFill="1" applyBorder="1" applyAlignment="1">
      <alignment vertical="center"/>
    </xf>
    <xf numFmtId="175" fontId="98" fillId="5" borderId="291" xfId="205" applyNumberFormat="1" applyFont="1" applyFill="1" applyBorder="1" applyAlignment="1">
      <alignment horizontal="center" vertical="center"/>
    </xf>
    <xf numFmtId="0" fontId="97" fillId="7" borderId="290" xfId="217" applyFont="1" applyFill="1" applyBorder="1" applyAlignment="1">
      <alignment horizontal="left" vertical="center" indent="1"/>
    </xf>
    <xf numFmtId="9" fontId="98" fillId="5" borderId="291" xfId="16" applyFont="1" applyFill="1" applyBorder="1" applyAlignment="1">
      <alignment horizontal="center" vertical="center"/>
    </xf>
    <xf numFmtId="0" fontId="97" fillId="7" borderId="292" xfId="217" applyFont="1" applyFill="1" applyBorder="1" applyAlignment="1">
      <alignment horizontal="left" vertical="center" indent="1"/>
    </xf>
    <xf numFmtId="164" fontId="98" fillId="5" borderId="293" xfId="101" applyFont="1" applyFill="1" applyBorder="1" applyAlignment="1">
      <alignment horizontal="center" vertical="center"/>
    </xf>
    <xf numFmtId="164" fontId="98" fillId="0" borderId="293" xfId="101" applyFont="1" applyFill="1" applyBorder="1" applyAlignment="1">
      <alignment horizontal="center" vertical="center"/>
    </xf>
    <xf numFmtId="164" fontId="164" fillId="0" borderId="293" xfId="101" applyFont="1" applyFill="1" applyBorder="1" applyAlignment="1">
      <alignment horizontal="center" vertical="center"/>
    </xf>
    <xf numFmtId="14" fontId="28" fillId="0" borderId="295" xfId="103" applyNumberFormat="1" applyFont="1" applyBorder="1" applyAlignment="1">
      <alignment vertical="center"/>
    </xf>
    <xf numFmtId="4" fontId="105" fillId="67" borderId="294" xfId="217" applyNumberFormat="1" applyFont="1" applyFill="1" applyBorder="1" applyAlignment="1">
      <alignment horizontal="center" vertical="center"/>
    </xf>
    <xf numFmtId="14" fontId="109" fillId="2" borderId="246" xfId="217" applyNumberFormat="1" applyFont="1" applyFill="1" applyBorder="1" applyAlignment="1">
      <alignment horizontal="center" vertical="center"/>
    </xf>
    <xf numFmtId="167" fontId="84" fillId="4" borderId="289" xfId="103" applyNumberFormat="1" applyFont="1" applyFill="1" applyBorder="1" applyAlignment="1">
      <alignment horizontal="right" vertical="center" indent="1"/>
    </xf>
    <xf numFmtId="0" fontId="83" fillId="67" borderId="219" xfId="229" applyFont="1" applyFill="1" applyBorder="1" applyAlignment="1">
      <alignment vertical="center"/>
    </xf>
    <xf numFmtId="0" fontId="83" fillId="67" borderId="221" xfId="229" applyFont="1" applyFill="1" applyBorder="1" applyAlignment="1">
      <alignment vertical="center"/>
    </xf>
    <xf numFmtId="0" fontId="83" fillId="67" borderId="222" xfId="229" applyFont="1" applyFill="1" applyBorder="1" applyAlignment="1">
      <alignment vertical="center"/>
    </xf>
    <xf numFmtId="0" fontId="45" fillId="62" borderId="276" xfId="233" applyNumberFormat="1" applyFont="1" applyFill="1" applyBorder="1" applyAlignment="1">
      <alignment horizontal="center" vertical="center"/>
    </xf>
    <xf numFmtId="14" fontId="8" fillId="3" borderId="306" xfId="229" applyNumberFormat="1" applyFill="1" applyBorder="1" applyAlignment="1">
      <alignment horizontal="center" vertical="center"/>
    </xf>
    <xf numFmtId="14" fontId="8" fillId="3" borderId="277" xfId="229" applyNumberFormat="1" applyFill="1" applyBorder="1" applyAlignment="1">
      <alignment horizontal="center" vertical="center"/>
    </xf>
    <xf numFmtId="14" fontId="8" fillId="3" borderId="36" xfId="229" applyNumberFormat="1" applyFill="1" applyBorder="1" applyAlignment="1">
      <alignment horizontal="center" vertical="center"/>
    </xf>
    <xf numFmtId="0" fontId="8" fillId="3" borderId="37" xfId="229" applyFill="1" applyBorder="1" applyAlignment="1">
      <alignment horizontal="center" vertical="center"/>
    </xf>
    <xf numFmtId="10" fontId="98" fillId="5" borderId="234" xfId="16" applyNumberFormat="1" applyFont="1" applyFill="1" applyBorder="1" applyAlignment="1">
      <alignment horizontal="center" vertical="center"/>
    </xf>
    <xf numFmtId="0" fontId="48" fillId="0" borderId="297" xfId="0" applyFont="1" applyBorder="1" applyAlignment="1">
      <alignment horizontal="left" vertical="center"/>
    </xf>
    <xf numFmtId="0" fontId="48" fillId="0" borderId="298" xfId="0" applyFont="1" applyBorder="1" applyAlignment="1">
      <alignment horizontal="left" vertical="center"/>
    </xf>
    <xf numFmtId="164" fontId="48" fillId="15" borderId="296" xfId="0" applyNumberFormat="1" applyFont="1" applyFill="1" applyBorder="1" applyAlignment="1">
      <alignment vertical="center"/>
    </xf>
    <xf numFmtId="164" fontId="48" fillId="11" borderId="244" xfId="0" applyNumberFormat="1" applyFont="1" applyFill="1" applyBorder="1" applyAlignment="1">
      <alignment vertical="center"/>
    </xf>
    <xf numFmtId="0" fontId="109" fillId="0" borderId="302" xfId="229" applyFont="1" applyBorder="1" applyAlignment="1">
      <alignment horizontal="left" vertical="center" wrapText="1"/>
    </xf>
    <xf numFmtId="0" fontId="109" fillId="0" borderId="303" xfId="229" applyFont="1" applyBorder="1" applyAlignment="1">
      <alignment horizontal="left" vertical="center" wrapText="1"/>
    </xf>
    <xf numFmtId="0" fontId="109" fillId="0" borderId="306" xfId="229" applyFont="1" applyBorder="1" applyAlignment="1">
      <alignment horizontal="left" vertical="center" wrapText="1"/>
    </xf>
    <xf numFmtId="0" fontId="109" fillId="0" borderId="279" xfId="229" applyFont="1" applyBorder="1" applyAlignment="1">
      <alignment horizontal="left" vertical="center" wrapText="1"/>
    </xf>
    <xf numFmtId="14" fontId="100" fillId="0" borderId="80" xfId="217" applyNumberFormat="1" applyFont="1" applyBorder="1" applyAlignment="1">
      <alignment horizontal="center" vertical="center"/>
    </xf>
    <xf numFmtId="4" fontId="26" fillId="0" borderId="69" xfId="217" applyNumberFormat="1" applyBorder="1" applyAlignment="1">
      <alignment horizontal="center" vertical="center"/>
    </xf>
    <xf numFmtId="4" fontId="100" fillId="0" borderId="166" xfId="217" applyNumberFormat="1" applyFont="1" applyBorder="1" applyAlignment="1">
      <alignment horizontal="center" vertical="center"/>
    </xf>
    <xf numFmtId="4" fontId="26" fillId="6" borderId="166" xfId="217" applyNumberFormat="1" applyFill="1" applyBorder="1" applyAlignment="1">
      <alignment horizontal="center" vertical="center"/>
    </xf>
    <xf numFmtId="3" fontId="26" fillId="0" borderId="228" xfId="217" applyNumberFormat="1" applyBorder="1" applyAlignment="1">
      <alignment horizontal="center" vertical="center"/>
    </xf>
    <xf numFmtId="4" fontId="100" fillId="0" borderId="70" xfId="217" applyNumberFormat="1" applyFont="1" applyBorder="1" applyAlignment="1">
      <alignment horizontal="center" vertical="center"/>
    </xf>
    <xf numFmtId="4" fontId="26" fillId="0" borderId="166" xfId="217" applyNumberFormat="1" applyBorder="1" applyAlignment="1">
      <alignment horizontal="center" vertical="center"/>
    </xf>
    <xf numFmtId="4" fontId="26" fillId="0" borderId="70" xfId="217" applyNumberFormat="1" applyBorder="1" applyAlignment="1">
      <alignment horizontal="center" vertical="center"/>
    </xf>
    <xf numFmtId="4" fontId="100" fillId="0" borderId="69" xfId="217" applyNumberFormat="1" applyFont="1" applyBorder="1" applyAlignment="1">
      <alignment horizontal="center" vertical="center"/>
    </xf>
    <xf numFmtId="4" fontId="100" fillId="0" borderId="71" xfId="217" applyNumberFormat="1" applyFont="1" applyBorder="1" applyAlignment="1">
      <alignment horizontal="center" vertical="center"/>
    </xf>
    <xf numFmtId="4" fontId="26" fillId="0" borderId="167" xfId="217" applyNumberFormat="1" applyBorder="1" applyAlignment="1">
      <alignment horizontal="center" vertical="center"/>
    </xf>
    <xf numFmtId="4" fontId="26" fillId="6" borderId="167" xfId="217" applyNumberFormat="1" applyFill="1" applyBorder="1" applyAlignment="1">
      <alignment horizontal="center" vertical="center"/>
    </xf>
    <xf numFmtId="3" fontId="26" fillId="0" borderId="229" xfId="217" applyNumberFormat="1" applyBorder="1" applyAlignment="1">
      <alignment horizontal="center" vertical="center"/>
    </xf>
    <xf numFmtId="4" fontId="26" fillId="0" borderId="72" xfId="217" applyNumberFormat="1" applyBorder="1" applyAlignment="1">
      <alignment horizontal="center" vertical="center"/>
    </xf>
    <xf numFmtId="4" fontId="85" fillId="56" borderId="48" xfId="103" applyNumberFormat="1" applyFont="1" applyFill="1" applyBorder="1" applyAlignment="1">
      <alignment horizontal="right" vertical="center" indent="1"/>
    </xf>
    <xf numFmtId="0" fontId="83" fillId="59" borderId="246" xfId="217" applyFont="1" applyFill="1" applyBorder="1" applyAlignment="1">
      <alignment horizontal="center" vertical="center" wrapText="1"/>
    </xf>
    <xf numFmtId="164" fontId="164" fillId="0" borderId="0" xfId="101" applyFont="1" applyFill="1" applyBorder="1" applyAlignment="1">
      <alignment horizontal="center" vertical="center"/>
    </xf>
    <xf numFmtId="0" fontId="45" fillId="0" borderId="289" xfId="97" applyFont="1" applyBorder="1" applyAlignment="1">
      <alignment horizontal="left" vertical="center" wrapText="1"/>
    </xf>
    <xf numFmtId="0" fontId="83" fillId="68" borderId="246" xfId="217" applyFont="1" applyFill="1" applyBorder="1" applyAlignment="1">
      <alignment horizontal="center" vertical="center" wrapText="1"/>
    </xf>
    <xf numFmtId="167" fontId="28" fillId="18" borderId="141" xfId="0" applyNumberFormat="1" applyFont="1" applyFill="1" applyBorder="1" applyAlignment="1">
      <alignment horizontal="right" vertical="center" indent="2"/>
    </xf>
    <xf numFmtId="0" fontId="26" fillId="4" borderId="289" xfId="103" applyFill="1" applyBorder="1"/>
    <xf numFmtId="4" fontId="88" fillId="18" borderId="48" xfId="103" applyNumberFormat="1" applyFont="1" applyFill="1" applyBorder="1" applyAlignment="1">
      <alignment horizontal="right" vertical="center" indent="1"/>
    </xf>
    <xf numFmtId="0" fontId="26" fillId="5" borderId="289" xfId="103" applyFill="1" applyBorder="1"/>
    <xf numFmtId="0" fontId="26" fillId="5" borderId="289" xfId="103" applyFill="1" applyBorder="1" applyAlignment="1">
      <alignment wrapText="1"/>
    </xf>
    <xf numFmtId="0" fontId="28" fillId="5" borderId="289" xfId="103" applyFont="1" applyFill="1" applyBorder="1"/>
    <xf numFmtId="4" fontId="26" fillId="5" borderId="289" xfId="103" applyNumberFormat="1" applyFill="1" applyBorder="1"/>
    <xf numFmtId="4" fontId="26" fillId="4" borderId="289" xfId="103" applyNumberFormat="1" applyFill="1" applyBorder="1"/>
    <xf numFmtId="14" fontId="132" fillId="0" borderId="0" xfId="97" applyNumberFormat="1" applyFont="1" applyAlignment="1">
      <alignment horizontal="left" vertical="center" indent="4"/>
    </xf>
    <xf numFmtId="10" fontId="6" fillId="0" borderId="0" xfId="216" applyNumberFormat="1" applyFont="1" applyAlignment="1">
      <alignment horizontal="center" vertical="center"/>
    </xf>
    <xf numFmtId="3" fontId="6" fillId="0" borderId="0" xfId="216" applyNumberFormat="1" applyFont="1" applyAlignment="1">
      <alignment horizontal="center" vertical="center"/>
    </xf>
    <xf numFmtId="10" fontId="6" fillId="0" borderId="0" xfId="0" applyNumberFormat="1" applyFont="1" applyAlignment="1">
      <alignment horizontal="center" vertical="center"/>
    </xf>
    <xf numFmtId="3" fontId="6" fillId="0" borderId="0" xfId="0" applyNumberFormat="1" applyFont="1" applyAlignment="1">
      <alignment horizontal="center" vertical="center"/>
    </xf>
    <xf numFmtId="4" fontId="5" fillId="0" borderId="0" xfId="205" applyNumberFormat="1" applyFont="1"/>
    <xf numFmtId="0" fontId="26" fillId="0" borderId="168" xfId="0" applyFont="1" applyBorder="1" applyAlignment="1">
      <alignment wrapText="1"/>
    </xf>
    <xf numFmtId="175" fontId="0" fillId="0" borderId="168" xfId="0" applyNumberFormat="1" applyBorder="1"/>
    <xf numFmtId="10" fontId="0" fillId="0" borderId="168" xfId="0" applyNumberFormat="1" applyBorder="1"/>
    <xf numFmtId="0" fontId="26" fillId="3" borderId="168" xfId="0" applyFont="1" applyFill="1" applyBorder="1" applyAlignment="1">
      <alignment wrapText="1"/>
    </xf>
    <xf numFmtId="175" fontId="28" fillId="3" borderId="168" xfId="0" applyNumberFormat="1" applyFont="1" applyFill="1" applyBorder="1"/>
    <xf numFmtId="0" fontId="80" fillId="69" borderId="0" xfId="217" applyFont="1" applyFill="1" applyAlignment="1">
      <alignment horizontal="center" vertical="center" wrapText="1"/>
    </xf>
    <xf numFmtId="3" fontId="26" fillId="0" borderId="313" xfId="217" applyNumberFormat="1" applyBorder="1" applyAlignment="1">
      <alignment horizontal="center" vertical="center"/>
    </xf>
    <xf numFmtId="3" fontId="26" fillId="0" borderId="314" xfId="217" applyNumberFormat="1" applyBorder="1" applyAlignment="1">
      <alignment horizontal="center" vertical="center"/>
    </xf>
    <xf numFmtId="179" fontId="26" fillId="0" borderId="0" xfId="217" applyNumberFormat="1"/>
    <xf numFmtId="177" fontId="26" fillId="5" borderId="0" xfId="217" applyNumberFormat="1" applyFill="1"/>
    <xf numFmtId="164" fontId="26" fillId="0" borderId="0" xfId="217" applyNumberFormat="1"/>
    <xf numFmtId="4" fontId="23" fillId="0" borderId="0" xfId="99" applyNumberFormat="1"/>
    <xf numFmtId="167" fontId="26" fillId="0" borderId="315" xfId="0" applyNumberFormat="1" applyFont="1" applyBorder="1" applyAlignment="1">
      <alignment horizontal="right" vertical="center" indent="1"/>
    </xf>
    <xf numFmtId="0" fontId="48" fillId="0" borderId="317" xfId="0" applyFont="1" applyBorder="1" applyAlignment="1">
      <alignment horizontal="left" vertical="center"/>
    </xf>
    <xf numFmtId="167" fontId="26" fillId="0" borderId="318" xfId="0" applyNumberFormat="1" applyFont="1" applyBorder="1" applyAlignment="1">
      <alignment horizontal="right" vertical="center" indent="1"/>
    </xf>
    <xf numFmtId="0" fontId="102" fillId="0" borderId="319" xfId="0" applyFont="1" applyBorder="1" applyAlignment="1">
      <alignment horizontal="left" vertical="center"/>
    </xf>
    <xf numFmtId="0" fontId="102" fillId="0" borderId="320" xfId="0" applyFont="1" applyBorder="1" applyAlignment="1">
      <alignment horizontal="left" vertical="center"/>
    </xf>
    <xf numFmtId="165" fontId="26" fillId="0" borderId="321" xfId="0" applyNumberFormat="1" applyFont="1" applyBorder="1" applyAlignment="1">
      <alignment horizontal="right" vertical="center" indent="1"/>
    </xf>
    <xf numFmtId="0" fontId="48" fillId="0" borderId="322" xfId="0" applyFont="1" applyBorder="1" applyAlignment="1">
      <alignment vertical="center"/>
    </xf>
    <xf numFmtId="0" fontId="102" fillId="0" borderId="323" xfId="0" applyFont="1" applyBorder="1" applyAlignment="1">
      <alignment vertical="center"/>
    </xf>
    <xf numFmtId="0" fontId="102" fillId="0" borderId="316" xfId="0" applyFont="1" applyBorder="1" applyAlignment="1">
      <alignment vertical="center"/>
    </xf>
    <xf numFmtId="0" fontId="102" fillId="0" borderId="324" xfId="0" applyFont="1" applyBorder="1" applyAlignment="1">
      <alignment horizontal="left" vertical="center"/>
    </xf>
    <xf numFmtId="0" fontId="4" fillId="0" borderId="0" xfId="223" applyFont="1"/>
    <xf numFmtId="164" fontId="26" fillId="0" borderId="0" xfId="103" applyNumberFormat="1"/>
    <xf numFmtId="10" fontId="3" fillId="0" borderId="0" xfId="0" applyNumberFormat="1" applyFont="1" applyAlignment="1">
      <alignment horizontal="center" vertical="center"/>
    </xf>
    <xf numFmtId="3" fontId="3" fillId="0" borderId="0" xfId="0" applyNumberFormat="1" applyFont="1" applyAlignment="1">
      <alignment horizontal="center" vertical="center"/>
    </xf>
    <xf numFmtId="0" fontId="26" fillId="0" borderId="138" xfId="0" applyFont="1" applyBorder="1" applyAlignment="1">
      <alignment horizontal="left" vertical="center" wrapText="1" indent="4"/>
    </xf>
    <xf numFmtId="4" fontId="128" fillId="5" borderId="140" xfId="0" applyNumberFormat="1" applyFont="1" applyFill="1" applyBorder="1" applyAlignment="1">
      <alignment horizontal="center" vertical="center"/>
    </xf>
    <xf numFmtId="167" fontId="26" fillId="0" borderId="91" xfId="0" applyNumberFormat="1" applyFont="1" applyBorder="1" applyAlignment="1">
      <alignment horizontal="right" vertical="center" indent="1"/>
    </xf>
    <xf numFmtId="167" fontId="27" fillId="0" borderId="101" xfId="0" applyNumberFormat="1" applyFont="1" applyBorder="1" applyAlignment="1">
      <alignment horizontal="right" vertical="center" indent="1"/>
    </xf>
    <xf numFmtId="0" fontId="28" fillId="0" borderId="83" xfId="0" applyFont="1" applyBorder="1"/>
    <xf numFmtId="4" fontId="28" fillId="6" borderId="142" xfId="103" applyNumberFormat="1" applyFont="1" applyFill="1" applyBorder="1" applyAlignment="1">
      <alignment vertical="center"/>
    </xf>
    <xf numFmtId="167" fontId="12" fillId="0" borderId="0" xfId="223" applyNumberFormat="1"/>
    <xf numFmtId="0" fontId="49" fillId="0" borderId="0" xfId="223" applyFont="1"/>
    <xf numFmtId="0" fontId="86" fillId="0" borderId="51" xfId="103" applyFont="1" applyBorder="1" applyAlignment="1">
      <alignment horizontal="left" vertical="center" wrapText="1" indent="1"/>
    </xf>
    <xf numFmtId="0" fontId="89" fillId="0" borderId="49" xfId="103" applyFont="1" applyBorder="1" applyAlignment="1">
      <alignment horizontal="left" vertical="center" wrapText="1" indent="1"/>
    </xf>
    <xf numFmtId="0" fontId="89" fillId="0" borderId="50" xfId="103" applyFont="1" applyBorder="1" applyAlignment="1">
      <alignment horizontal="left" vertical="center" wrapText="1" indent="1"/>
    </xf>
    <xf numFmtId="0" fontId="86" fillId="0" borderId="49" xfId="103" applyFont="1" applyBorder="1" applyAlignment="1">
      <alignment horizontal="left" vertical="center" wrapText="1" indent="1"/>
    </xf>
    <xf numFmtId="0" fontId="86" fillId="0" borderId="50" xfId="103" applyFont="1" applyBorder="1" applyAlignment="1">
      <alignment horizontal="left" vertical="center" wrapText="1" indent="1"/>
    </xf>
    <xf numFmtId="4" fontId="12" fillId="0" borderId="0" xfId="223" applyNumberFormat="1"/>
    <xf numFmtId="4" fontId="7" fillId="0" borderId="0" xfId="223" applyNumberFormat="1" applyFont="1"/>
    <xf numFmtId="4" fontId="123" fillId="0" borderId="0" xfId="223" applyNumberFormat="1" applyFont="1"/>
    <xf numFmtId="4" fontId="2" fillId="0" borderId="0" xfId="223" applyNumberFormat="1" applyFont="1"/>
    <xf numFmtId="167" fontId="26" fillId="57" borderId="22" xfId="217" applyNumberFormat="1" applyFill="1" applyBorder="1"/>
    <xf numFmtId="164" fontId="12" fillId="0" borderId="0" xfId="223" applyNumberFormat="1"/>
    <xf numFmtId="0" fontId="1" fillId="0" borderId="0" xfId="223" applyFont="1"/>
    <xf numFmtId="4" fontId="26" fillId="5" borderId="0" xfId="103" applyNumberFormat="1" applyFill="1" applyAlignment="1">
      <alignment horizontal="left" vertical="center" indent="1"/>
    </xf>
    <xf numFmtId="43" fontId="123" fillId="0" borderId="0" xfId="223" applyNumberFormat="1" applyFont="1"/>
    <xf numFmtId="4" fontId="166" fillId="0" borderId="51" xfId="103" applyNumberFormat="1" applyFont="1" applyBorder="1" applyAlignment="1">
      <alignment horizontal="right" vertical="center" wrapText="1" indent="1"/>
    </xf>
    <xf numFmtId="4" fontId="160" fillId="0" borderId="12" xfId="207" applyNumberFormat="1" applyFont="1" applyBorder="1" applyAlignment="1">
      <alignment horizontal="centerContinuous" vertical="center"/>
    </xf>
    <xf numFmtId="4" fontId="26" fillId="0" borderId="0" xfId="0" applyNumberFormat="1" applyFont="1"/>
    <xf numFmtId="4" fontId="26" fillId="11" borderId="142" xfId="103" applyNumberFormat="1" applyFill="1" applyBorder="1"/>
    <xf numFmtId="4" fontId="166" fillId="8" borderId="51" xfId="103" applyNumberFormat="1" applyFont="1" applyFill="1" applyBorder="1" applyAlignment="1">
      <alignment horizontal="right" vertical="center" wrapText="1"/>
    </xf>
    <xf numFmtId="4" fontId="26" fillId="5" borderId="289" xfId="103" applyNumberFormat="1" applyFill="1" applyBorder="1" applyAlignment="1">
      <alignment vertical="center"/>
    </xf>
    <xf numFmtId="164" fontId="49" fillId="0" borderId="0" xfId="223" applyNumberFormat="1" applyFont="1"/>
    <xf numFmtId="0" fontId="0" fillId="0" borderId="289" xfId="0" applyBorder="1" applyAlignment="1">
      <alignment vertical="center"/>
    </xf>
    <xf numFmtId="0" fontId="26" fillId="0" borderId="289" xfId="0" applyFont="1" applyBorder="1" applyAlignment="1">
      <alignment vertical="center"/>
    </xf>
    <xf numFmtId="0" fontId="26" fillId="0" borderId="289" xfId="0" quotePrefix="1" applyFont="1" applyBorder="1" applyAlignment="1">
      <alignment vertical="center"/>
    </xf>
    <xf numFmtId="14" fontId="26" fillId="0" borderId="289" xfId="0" applyNumberFormat="1" applyFont="1" applyBorder="1" applyAlignment="1">
      <alignment vertical="center"/>
    </xf>
    <xf numFmtId="0" fontId="26" fillId="0" borderId="168" xfId="103" applyBorder="1" applyAlignment="1">
      <alignment vertical="center" wrapText="1"/>
    </xf>
    <xf numFmtId="0" fontId="26" fillId="0" borderId="289" xfId="0" applyFont="1" applyBorder="1" applyAlignment="1">
      <alignment horizontal="left" vertical="center"/>
    </xf>
    <xf numFmtId="0" fontId="26" fillId="0" borderId="289" xfId="0" applyFont="1" applyBorder="1" applyAlignment="1">
      <alignment horizontal="left"/>
    </xf>
    <xf numFmtId="167" fontId="0" fillId="0" borderId="0" xfId="0" applyNumberFormat="1" applyAlignment="1">
      <alignment horizontal="center"/>
    </xf>
    <xf numFmtId="167" fontId="45" fillId="0" borderId="0" xfId="97" applyNumberFormat="1" applyFont="1" applyAlignment="1">
      <alignment horizontal="left" vertical="center" wrapText="1"/>
    </xf>
    <xf numFmtId="167" fontId="28" fillId="0" borderId="295" xfId="103" applyNumberFormat="1" applyFont="1" applyBorder="1" applyAlignment="1">
      <alignment vertical="center"/>
    </xf>
    <xf numFmtId="167" fontId="28" fillId="0" borderId="0" xfId="103" applyNumberFormat="1" applyFont="1" applyAlignment="1">
      <alignment horizontal="right"/>
    </xf>
    <xf numFmtId="167" fontId="28" fillId="0" borderId="0" xfId="0" applyNumberFormat="1" applyFont="1" applyAlignment="1">
      <alignment vertical="center"/>
    </xf>
    <xf numFmtId="167" fontId="28" fillId="67" borderId="22" xfId="0" applyNumberFormat="1" applyFont="1" applyFill="1" applyBorder="1" applyAlignment="1">
      <alignment horizontal="center" vertical="center" wrapText="1"/>
    </xf>
    <xf numFmtId="0" fontId="26" fillId="0" borderId="0" xfId="234"/>
    <xf numFmtId="0" fontId="28" fillId="0" borderId="289" xfId="234" applyFont="1" applyBorder="1"/>
    <xf numFmtId="0" fontId="26" fillId="0" borderId="327" xfId="235" applyBorder="1" applyAlignment="1">
      <alignment horizontal="left"/>
    </xf>
    <xf numFmtId="0" fontId="26" fillId="0" borderId="327" xfId="235" applyBorder="1" applyAlignment="1">
      <alignment horizontal="center"/>
    </xf>
    <xf numFmtId="0" fontId="26" fillId="0" borderId="327" xfId="234" applyBorder="1" applyAlignment="1">
      <alignment horizontal="center"/>
    </xf>
    <xf numFmtId="14" fontId="26" fillId="0" borderId="327" xfId="234" applyNumberFormat="1" applyBorder="1" applyAlignment="1">
      <alignment horizontal="center"/>
    </xf>
    <xf numFmtId="0" fontId="26" fillId="0" borderId="327" xfId="234" applyBorder="1" applyAlignment="1">
      <alignment horizontal="left"/>
    </xf>
    <xf numFmtId="4" fontId="26" fillId="0" borderId="327" xfId="234" applyNumberFormat="1" applyBorder="1" applyAlignment="1">
      <alignment horizontal="right"/>
    </xf>
    <xf numFmtId="0" fontId="26" fillId="0" borderId="289" xfId="234" applyBorder="1" applyAlignment="1">
      <alignment horizontal="center" vertical="center"/>
    </xf>
    <xf numFmtId="0" fontId="28" fillId="0" borderId="0" xfId="234" applyFont="1"/>
    <xf numFmtId="0" fontId="26" fillId="0" borderId="327" xfId="234" applyBorder="1" applyAlignment="1">
      <alignment horizontal="right"/>
    </xf>
    <xf numFmtId="0" fontId="27" fillId="0" borderId="327" xfId="234" applyFont="1" applyBorder="1"/>
    <xf numFmtId="0" fontId="160" fillId="0" borderId="0" xfId="234" applyFont="1"/>
    <xf numFmtId="0" fontId="168" fillId="0" borderId="328" xfId="236" applyFont="1" applyBorder="1"/>
    <xf numFmtId="0" fontId="167" fillId="0" borderId="289" xfId="236" applyBorder="1" applyAlignment="1">
      <alignment horizontal="left"/>
    </xf>
    <xf numFmtId="0" fontId="26" fillId="17" borderId="289" xfId="0" applyFont="1" applyFill="1" applyBorder="1" applyAlignment="1">
      <alignment horizontal="left"/>
    </xf>
    <xf numFmtId="0" fontId="167" fillId="0" borderId="168" xfId="236" applyBorder="1" applyAlignment="1">
      <alignment horizontal="left"/>
    </xf>
    <xf numFmtId="0" fontId="105" fillId="0" borderId="329" xfId="0" applyFont="1" applyBorder="1" applyAlignment="1">
      <alignment horizontal="center" vertical="center" wrapText="1"/>
    </xf>
    <xf numFmtId="0" fontId="28" fillId="0" borderId="329" xfId="0" applyFont="1" applyBorder="1" applyAlignment="1">
      <alignment horizontal="center" vertical="center" wrapText="1"/>
    </xf>
    <xf numFmtId="0" fontId="154" fillId="0" borderId="329" xfId="0" applyFont="1" applyBorder="1" applyAlignment="1">
      <alignment horizontal="center" vertical="center" wrapText="1"/>
    </xf>
    <xf numFmtId="0" fontId="105" fillId="70" borderId="329" xfId="0" applyFont="1" applyFill="1" applyBorder="1" applyAlignment="1">
      <alignment horizontal="left" vertical="center" wrapText="1"/>
    </xf>
    <xf numFmtId="0" fontId="28" fillId="18" borderId="330" xfId="0" applyFont="1" applyFill="1" applyBorder="1" applyAlignment="1">
      <alignment vertical="center"/>
    </xf>
    <xf numFmtId="0" fontId="28" fillId="18" borderId="331" xfId="0" applyFont="1" applyFill="1" applyBorder="1" applyAlignment="1">
      <alignment vertical="center" wrapText="1"/>
    </xf>
    <xf numFmtId="0" fontId="28" fillId="18" borderId="331" xfId="0" applyFont="1" applyFill="1" applyBorder="1" applyAlignment="1">
      <alignment horizontal="left" vertical="center" wrapText="1"/>
    </xf>
    <xf numFmtId="0" fontId="26" fillId="18" borderId="331" xfId="0" applyFont="1" applyFill="1" applyBorder="1" applyAlignment="1">
      <alignment vertical="center" wrapText="1"/>
    </xf>
    <xf numFmtId="0" fontId="28" fillId="18" borderId="332" xfId="0" applyFont="1" applyFill="1" applyBorder="1" applyAlignment="1">
      <alignment vertical="center" wrapText="1"/>
    </xf>
    <xf numFmtId="0" fontId="169" fillId="18" borderId="329" xfId="0" applyFont="1" applyFill="1" applyBorder="1" applyAlignment="1">
      <alignment horizontal="center" vertical="center" wrapText="1"/>
    </xf>
    <xf numFmtId="0" fontId="139" fillId="71" borderId="329" xfId="0" applyFont="1" applyFill="1" applyBorder="1" applyAlignment="1">
      <alignment horizontal="left" vertical="center" wrapText="1"/>
    </xf>
    <xf numFmtId="0" fontId="139" fillId="0" borderId="329" xfId="0" applyFont="1" applyBorder="1" applyAlignment="1">
      <alignment horizontal="left" vertical="center" wrapText="1"/>
    </xf>
    <xf numFmtId="0" fontId="26" fillId="0" borderId="329" xfId="0" applyFont="1" applyBorder="1" applyAlignment="1">
      <alignment horizontal="center" vertical="center" wrapText="1"/>
    </xf>
    <xf numFmtId="0" fontId="139" fillId="0" borderId="329" xfId="0" applyFont="1" applyBorder="1" applyAlignment="1">
      <alignment horizontal="center" vertical="center" wrapText="1"/>
    </xf>
    <xf numFmtId="0" fontId="26" fillId="72" borderId="329" xfId="0" applyFont="1" applyFill="1" applyBorder="1" applyAlignment="1">
      <alignment horizontal="left" vertical="center" wrapText="1"/>
    </xf>
    <xf numFmtId="0" fontId="105" fillId="59" borderId="329" xfId="0" applyFont="1" applyFill="1" applyBorder="1" applyAlignment="1">
      <alignment horizontal="left" vertical="center" wrapText="1"/>
    </xf>
    <xf numFmtId="0" fontId="26" fillId="0" borderId="331" xfId="0" applyFont="1" applyBorder="1" applyAlignment="1">
      <alignment horizontal="center" vertical="center" wrapText="1"/>
    </xf>
    <xf numFmtId="0" fontId="26" fillId="18" borderId="329" xfId="0" applyFont="1" applyFill="1" applyBorder="1" applyAlignment="1">
      <alignment vertical="center" wrapText="1"/>
    </xf>
    <xf numFmtId="0" fontId="26" fillId="0" borderId="329" xfId="0" applyFont="1" applyBorder="1" applyAlignment="1">
      <alignment horizontal="left" vertical="center" wrapText="1"/>
    </xf>
    <xf numFmtId="0" fontId="26" fillId="73" borderId="329" xfId="0" applyFont="1" applyFill="1" applyBorder="1" applyAlignment="1">
      <alignment horizontal="left" vertical="center" wrapText="1"/>
    </xf>
    <xf numFmtId="14" fontId="139" fillId="0" borderId="329" xfId="0" applyNumberFormat="1" applyFont="1" applyBorder="1" applyAlignment="1">
      <alignment horizontal="center" vertical="center" wrapText="1"/>
    </xf>
    <xf numFmtId="168" fontId="139" fillId="0" borderId="329" xfId="16" applyNumberFormat="1" applyFont="1" applyBorder="1" applyAlignment="1">
      <alignment horizontal="center" vertical="center" wrapText="1"/>
    </xf>
    <xf numFmtId="0" fontId="171" fillId="0" borderId="329" xfId="0" applyFont="1" applyBorder="1" applyAlignment="1">
      <alignment horizontal="center" vertical="center" wrapText="1"/>
    </xf>
    <xf numFmtId="0" fontId="172" fillId="0" borderId="329" xfId="0" applyFont="1" applyBorder="1" applyAlignment="1">
      <alignment horizontal="center" vertical="center" wrapText="1"/>
    </xf>
    <xf numFmtId="4" fontId="172" fillId="0" borderId="329" xfId="0" applyNumberFormat="1" applyFont="1" applyBorder="1" applyAlignment="1">
      <alignment horizontal="center" vertical="center" wrapText="1"/>
    </xf>
    <xf numFmtId="4" fontId="171" fillId="0" borderId="329" xfId="0" applyNumberFormat="1" applyFont="1" applyBorder="1" applyAlignment="1">
      <alignment horizontal="center" vertical="center" wrapText="1"/>
    </xf>
    <xf numFmtId="3" fontId="139" fillId="0" borderId="329" xfId="0" applyNumberFormat="1" applyFont="1" applyBorder="1" applyAlignment="1">
      <alignment horizontal="left" vertical="center" wrapText="1"/>
    </xf>
    <xf numFmtId="14" fontId="139" fillId="0" borderId="329" xfId="0" applyNumberFormat="1" applyFont="1" applyBorder="1" applyAlignment="1">
      <alignment horizontal="left" vertical="center" wrapText="1"/>
    </xf>
    <xf numFmtId="4" fontId="139" fillId="0" borderId="329" xfId="0" applyNumberFormat="1" applyFont="1" applyBorder="1" applyAlignment="1">
      <alignment horizontal="left" vertical="center" wrapText="1"/>
    </xf>
    <xf numFmtId="168" fontId="139" fillId="0" borderId="329" xfId="16" applyNumberFormat="1" applyFont="1" applyBorder="1" applyAlignment="1">
      <alignment horizontal="left" vertical="center" wrapText="1"/>
    </xf>
    <xf numFmtId="0" fontId="139" fillId="0" borderId="25" xfId="0" applyFont="1" applyBorder="1" applyAlignment="1">
      <alignment horizontal="center" vertical="center" wrapText="1"/>
    </xf>
    <xf numFmtId="0" fontId="139" fillId="0" borderId="329" xfId="181" applyFont="1" applyBorder="1" applyAlignment="1">
      <alignment horizontal="center" vertical="center" wrapText="1"/>
    </xf>
    <xf numFmtId="168" fontId="26" fillId="0" borderId="0" xfId="16" applyNumberFormat="1" applyFont="1" applyAlignment="1">
      <alignment vertical="center" wrapText="1"/>
    </xf>
    <xf numFmtId="4" fontId="0" fillId="0" borderId="0" xfId="0" applyNumberFormat="1" applyAlignment="1">
      <alignment vertical="center"/>
    </xf>
    <xf numFmtId="0" fontId="0" fillId="0" borderId="0" xfId="0" applyAlignment="1">
      <alignment vertical="center"/>
    </xf>
    <xf numFmtId="168" fontId="139" fillId="0" borderId="329" xfId="16" applyNumberFormat="1" applyFont="1" applyFill="1" applyBorder="1" applyAlignment="1">
      <alignment horizontal="center" vertical="center" wrapText="1"/>
    </xf>
    <xf numFmtId="4" fontId="139" fillId="0" borderId="329" xfId="0" applyNumberFormat="1" applyFont="1" applyBorder="1" applyAlignment="1">
      <alignment horizontal="center" vertical="center" wrapText="1"/>
    </xf>
    <xf numFmtId="10" fontId="139" fillId="0" borderId="329" xfId="16" applyNumberFormat="1" applyFont="1" applyBorder="1" applyAlignment="1">
      <alignment horizontal="center" vertical="center" wrapText="1"/>
    </xf>
    <xf numFmtId="9" fontId="139" fillId="0" borderId="329" xfId="0" applyNumberFormat="1" applyFont="1" applyBorder="1" applyAlignment="1">
      <alignment horizontal="center" vertical="center" wrapText="1"/>
    </xf>
    <xf numFmtId="9" fontId="139" fillId="0" borderId="329" xfId="0" applyNumberFormat="1" applyFont="1" applyBorder="1" applyAlignment="1">
      <alignment horizontal="left" vertical="center" wrapText="1"/>
    </xf>
    <xf numFmtId="10" fontId="139" fillId="0" borderId="329" xfId="16" applyNumberFormat="1" applyFont="1" applyFill="1" applyBorder="1" applyAlignment="1">
      <alignment horizontal="left" vertical="center" wrapText="1"/>
    </xf>
    <xf numFmtId="168" fontId="139" fillId="0" borderId="329" xfId="0" applyNumberFormat="1" applyFont="1" applyBorder="1" applyAlignment="1">
      <alignment horizontal="left" vertical="center" wrapText="1"/>
    </xf>
    <xf numFmtId="4" fontId="160" fillId="0" borderId="331" xfId="207" applyNumberFormat="1" applyFont="1" applyBorder="1" applyAlignment="1">
      <alignment horizontal="centerContinuous" vertical="center"/>
    </xf>
    <xf numFmtId="0" fontId="133" fillId="66" borderId="335" xfId="103" applyFont="1" applyFill="1" applyBorder="1" applyAlignment="1">
      <alignment vertical="center"/>
    </xf>
    <xf numFmtId="0" fontId="133" fillId="66" borderId="335" xfId="103" applyFont="1" applyFill="1" applyBorder="1"/>
    <xf numFmtId="4" fontId="26" fillId="0" borderId="289" xfId="103" applyNumberFormat="1" applyBorder="1" applyAlignment="1">
      <alignment vertical="center"/>
    </xf>
    <xf numFmtId="0" fontId="168" fillId="0" borderId="336" xfId="0" applyFont="1" applyBorder="1"/>
    <xf numFmtId="0" fontId="0" fillId="18" borderId="168" xfId="0" applyFill="1" applyBorder="1" applyAlignment="1">
      <alignment horizontal="left"/>
    </xf>
    <xf numFmtId="0" fontId="0" fillId="0" borderId="168" xfId="0" applyBorder="1" applyAlignment="1">
      <alignment horizontal="left"/>
    </xf>
    <xf numFmtId="0" fontId="66" fillId="74" borderId="340" xfId="234" applyFont="1" applyFill="1" applyBorder="1"/>
    <xf numFmtId="0" fontId="66" fillId="74" borderId="341" xfId="234" applyFont="1" applyFill="1" applyBorder="1"/>
    <xf numFmtId="0" fontId="66" fillId="74" borderId="342" xfId="234" applyFont="1" applyFill="1" applyBorder="1"/>
    <xf numFmtId="0" fontId="139" fillId="75" borderId="340" xfId="234" applyFont="1" applyFill="1" applyBorder="1"/>
    <xf numFmtId="0" fontId="139" fillId="75" borderId="341" xfId="234" applyFont="1" applyFill="1" applyBorder="1"/>
    <xf numFmtId="4" fontId="139" fillId="75" borderId="341" xfId="234" applyNumberFormat="1" applyFont="1" applyFill="1" applyBorder="1"/>
    <xf numFmtId="4" fontId="139" fillId="75" borderId="342" xfId="234" applyNumberFormat="1" applyFont="1" applyFill="1" applyBorder="1"/>
    <xf numFmtId="0" fontId="139" fillId="0" borderId="340" xfId="234" applyFont="1" applyBorder="1"/>
    <xf numFmtId="0" fontId="139" fillId="0" borderId="341" xfId="234" applyFont="1" applyBorder="1"/>
    <xf numFmtId="4" fontId="139" fillId="0" borderId="341" xfId="234" applyNumberFormat="1" applyFont="1" applyBorder="1"/>
    <xf numFmtId="4" fontId="139" fillId="0" borderId="342" xfId="234" applyNumberFormat="1" applyFont="1" applyBorder="1"/>
    <xf numFmtId="0" fontId="139" fillId="0" borderId="337" xfId="234" applyFont="1" applyBorder="1"/>
    <xf numFmtId="0" fontId="139" fillId="0" borderId="338" xfId="234" applyFont="1" applyBorder="1"/>
    <xf numFmtId="4" fontId="139" fillId="0" borderId="338" xfId="234" applyNumberFormat="1" applyFont="1" applyBorder="1"/>
    <xf numFmtId="4" fontId="139" fillId="0" borderId="339" xfId="234" applyNumberFormat="1" applyFont="1" applyBorder="1"/>
    <xf numFmtId="165" fontId="0" fillId="0" borderId="0" xfId="0" applyNumberFormat="1"/>
    <xf numFmtId="4" fontId="91" fillId="0" borderId="313" xfId="217" applyNumberFormat="1" applyFont="1" applyBorder="1" applyAlignment="1">
      <alignment horizontal="center" vertical="center"/>
    </xf>
    <xf numFmtId="3" fontId="91" fillId="0" borderId="313" xfId="217" applyNumberFormat="1" applyFont="1" applyBorder="1" applyAlignment="1">
      <alignment horizontal="center" vertical="center"/>
    </xf>
    <xf numFmtId="14" fontId="26" fillId="0" borderId="25" xfId="0" applyNumberFormat="1" applyFont="1" applyBorder="1" applyAlignment="1">
      <alignment horizontal="center"/>
    </xf>
    <xf numFmtId="4" fontId="26" fillId="4" borderId="35" xfId="0" applyNumberFormat="1" applyFont="1" applyFill="1" applyBorder="1" applyAlignment="1">
      <alignment horizontal="right" vertical="center" wrapText="1"/>
    </xf>
    <xf numFmtId="4" fontId="26" fillId="4" borderId="163" xfId="0" applyNumberFormat="1" applyFont="1" applyFill="1" applyBorder="1" applyAlignment="1">
      <alignment horizontal="right" vertical="center" wrapText="1"/>
    </xf>
    <xf numFmtId="165" fontId="26" fillId="4" borderId="46" xfId="0" applyNumberFormat="1" applyFont="1" applyFill="1" applyBorder="1" applyAlignment="1">
      <alignment horizontal="right" vertical="center" wrapText="1"/>
    </xf>
    <xf numFmtId="165" fontId="26" fillId="4" borderId="34" xfId="0" applyNumberFormat="1" applyFont="1" applyFill="1" applyBorder="1" applyAlignment="1">
      <alignment horizontal="right" vertical="center" wrapText="1"/>
    </xf>
    <xf numFmtId="4" fontId="26" fillId="0" borderId="46" xfId="0" applyNumberFormat="1" applyFont="1" applyBorder="1" applyAlignment="1">
      <alignment horizontal="right" vertical="center" wrapText="1"/>
    </xf>
    <xf numFmtId="4" fontId="26" fillId="4" borderId="46" xfId="0" applyNumberFormat="1" applyFont="1" applyFill="1" applyBorder="1" applyAlignment="1">
      <alignment horizontal="right" vertical="center" wrapText="1"/>
    </xf>
    <xf numFmtId="4" fontId="26" fillId="4" borderId="33" xfId="0" applyNumberFormat="1" applyFont="1" applyFill="1" applyBorder="1" applyAlignment="1">
      <alignment horizontal="right" vertical="center" wrapText="1"/>
    </xf>
    <xf numFmtId="4" fontId="26" fillId="4" borderId="154" xfId="0" applyNumberFormat="1" applyFont="1" applyFill="1" applyBorder="1" applyAlignment="1">
      <alignment horizontal="right" vertical="center" wrapText="1"/>
    </xf>
    <xf numFmtId="0" fontId="26" fillId="0" borderId="0" xfId="0" applyFont="1" applyAlignment="1">
      <alignment horizontal="right"/>
    </xf>
    <xf numFmtId="4" fontId="26" fillId="4" borderId="161" xfId="0" applyNumberFormat="1" applyFont="1" applyFill="1" applyBorder="1" applyAlignment="1">
      <alignment horizontal="right" vertical="center" wrapText="1"/>
    </xf>
    <xf numFmtId="4" fontId="26" fillId="4" borderId="56" xfId="0" applyNumberFormat="1" applyFont="1" applyFill="1" applyBorder="1" applyAlignment="1">
      <alignment horizontal="right" vertical="center" wrapText="1"/>
    </xf>
    <xf numFmtId="4" fontId="26" fillId="4" borderId="34" xfId="0" applyNumberFormat="1" applyFont="1" applyFill="1" applyBorder="1" applyAlignment="1">
      <alignment horizontal="right" vertical="center" wrapText="1"/>
    </xf>
    <xf numFmtId="4" fontId="91" fillId="4" borderId="35" xfId="0" applyNumberFormat="1" applyFont="1" applyFill="1" applyBorder="1" applyAlignment="1">
      <alignment horizontal="right" vertical="center" wrapText="1"/>
    </xf>
    <xf numFmtId="165" fontId="91" fillId="4" borderId="46" xfId="0" applyNumberFormat="1" applyFont="1" applyFill="1" applyBorder="1" applyAlignment="1">
      <alignment horizontal="right" vertical="center" wrapText="1"/>
    </xf>
    <xf numFmtId="165" fontId="91" fillId="4" borderId="34" xfId="0" applyNumberFormat="1" applyFont="1" applyFill="1" applyBorder="1" applyAlignment="1">
      <alignment horizontal="right" vertical="center" wrapText="1"/>
    </xf>
    <xf numFmtId="4" fontId="91" fillId="4" borderId="46" xfId="0" applyNumberFormat="1" applyFont="1" applyFill="1" applyBorder="1" applyAlignment="1">
      <alignment horizontal="right" vertical="center" wrapText="1"/>
    </xf>
    <xf numFmtId="4" fontId="91" fillId="4" borderId="33" xfId="0" applyNumberFormat="1" applyFont="1" applyFill="1" applyBorder="1" applyAlignment="1">
      <alignment horizontal="right" vertical="center" wrapText="1"/>
    </xf>
    <xf numFmtId="4" fontId="91" fillId="4" borderId="154" xfId="0" applyNumberFormat="1" applyFont="1" applyFill="1" applyBorder="1" applyAlignment="1">
      <alignment horizontal="right" vertical="center" wrapText="1"/>
    </xf>
    <xf numFmtId="4" fontId="91" fillId="4" borderId="161" xfId="0" applyNumberFormat="1" applyFont="1" applyFill="1" applyBorder="1" applyAlignment="1">
      <alignment horizontal="right" vertical="center" wrapText="1"/>
    </xf>
    <xf numFmtId="4" fontId="91" fillId="4" borderId="56" xfId="0" applyNumberFormat="1" applyFont="1" applyFill="1" applyBorder="1" applyAlignment="1">
      <alignment horizontal="right" vertical="center" wrapText="1"/>
    </xf>
    <xf numFmtId="4" fontId="91" fillId="4" borderId="34" xfId="0" applyNumberFormat="1" applyFont="1" applyFill="1" applyBorder="1" applyAlignment="1">
      <alignment horizontal="right" vertical="center" wrapText="1"/>
    </xf>
    <xf numFmtId="4" fontId="83" fillId="6" borderId="227" xfId="217" applyNumberFormat="1" applyFont="1" applyFill="1" applyBorder="1" applyAlignment="1">
      <alignment horizontal="center" vertical="center"/>
    </xf>
    <xf numFmtId="4" fontId="26" fillId="0" borderId="289" xfId="103" applyNumberFormat="1" applyBorder="1"/>
    <xf numFmtId="4" fontId="0" fillId="18" borderId="168" xfId="0" applyNumberFormat="1" applyFill="1" applyBorder="1" applyAlignment="1">
      <alignment horizontal="left"/>
    </xf>
    <xf numFmtId="4" fontId="0" fillId="0" borderId="168" xfId="0" applyNumberFormat="1" applyBorder="1" applyAlignment="1">
      <alignment horizontal="left"/>
    </xf>
    <xf numFmtId="14" fontId="0" fillId="18" borderId="168" xfId="0" applyNumberFormat="1" applyFill="1" applyBorder="1" applyAlignment="1">
      <alignment horizontal="left"/>
    </xf>
    <xf numFmtId="14" fontId="0" fillId="0" borderId="168" xfId="0" applyNumberFormat="1" applyBorder="1" applyAlignment="1">
      <alignment horizontal="left"/>
    </xf>
    <xf numFmtId="14" fontId="0" fillId="0" borderId="343" xfId="0" applyNumberFormat="1" applyBorder="1"/>
    <xf numFmtId="0" fontId="0" fillId="0" borderId="344" xfId="0" applyBorder="1"/>
    <xf numFmtId="0" fontId="26" fillId="0" borderId="344" xfId="0" applyFont="1" applyBorder="1"/>
    <xf numFmtId="4" fontId="0" fillId="0" borderId="345" xfId="0" applyNumberFormat="1" applyBorder="1"/>
    <xf numFmtId="4" fontId="0" fillId="0" borderId="344" xfId="0" applyNumberFormat="1" applyBorder="1"/>
    <xf numFmtId="0" fontId="26" fillId="0" borderId="345" xfId="0" applyFont="1" applyBorder="1"/>
    <xf numFmtId="14" fontId="0" fillId="0" borderId="23" xfId="0" applyNumberFormat="1" applyBorder="1"/>
    <xf numFmtId="4" fontId="0" fillId="0" borderId="25" xfId="0" applyNumberFormat="1" applyBorder="1"/>
    <xf numFmtId="0" fontId="26" fillId="0" borderId="25" xfId="0" applyFont="1" applyBorder="1"/>
    <xf numFmtId="14" fontId="0" fillId="0" borderId="15" xfId="0" applyNumberFormat="1" applyBorder="1"/>
    <xf numFmtId="0" fontId="0" fillId="0" borderId="12" xfId="0" applyBorder="1"/>
    <xf numFmtId="0" fontId="26" fillId="0" borderId="12" xfId="0" applyFont="1" applyBorder="1"/>
    <xf numFmtId="4" fontId="0" fillId="0" borderId="27" xfId="0" applyNumberFormat="1" applyBorder="1"/>
    <xf numFmtId="4" fontId="0" fillId="0" borderId="12" xfId="0" applyNumberFormat="1" applyBorder="1"/>
    <xf numFmtId="0" fontId="26" fillId="0" borderId="27" xfId="0" applyFont="1" applyBorder="1"/>
    <xf numFmtId="180" fontId="0" fillId="0" borderId="25" xfId="0" applyNumberFormat="1" applyBorder="1"/>
    <xf numFmtId="180" fontId="0" fillId="0" borderId="344" xfId="0" applyNumberFormat="1" applyBorder="1"/>
    <xf numFmtId="180" fontId="0" fillId="0" borderId="0" xfId="0" applyNumberFormat="1"/>
    <xf numFmtId="180" fontId="0" fillId="0" borderId="345" xfId="0" applyNumberFormat="1" applyBorder="1"/>
    <xf numFmtId="180" fontId="0" fillId="0" borderId="27" xfId="0" applyNumberFormat="1" applyBorder="1"/>
    <xf numFmtId="180" fontId="0" fillId="0" borderId="12" xfId="0" applyNumberFormat="1" applyBorder="1"/>
    <xf numFmtId="0" fontId="48" fillId="0" borderId="346" xfId="0" applyFont="1" applyBorder="1" applyAlignment="1">
      <alignment vertical="center"/>
    </xf>
    <xf numFmtId="0" fontId="48" fillId="0" borderId="347" xfId="0" applyFont="1" applyBorder="1"/>
    <xf numFmtId="167" fontId="26" fillId="0" borderId="348" xfId="0" applyNumberFormat="1" applyFont="1" applyBorder="1" applyAlignment="1">
      <alignment horizontal="right" vertical="center" indent="1"/>
    </xf>
    <xf numFmtId="4" fontId="26" fillId="57" borderId="289" xfId="103" applyNumberFormat="1" applyFill="1" applyBorder="1"/>
    <xf numFmtId="164" fontId="0" fillId="57" borderId="0" xfId="0" applyNumberFormat="1" applyFill="1"/>
    <xf numFmtId="0" fontId="140" fillId="0" borderId="0" xfId="97" applyFont="1" applyAlignment="1">
      <alignment horizontal="center"/>
    </xf>
    <xf numFmtId="0" fontId="125" fillId="0" borderId="0" xfId="180" applyAlignment="1">
      <alignment horizontal="left" vertical="top" wrapText="1"/>
    </xf>
    <xf numFmtId="0" fontId="137" fillId="0" borderId="0" xfId="97" applyFont="1" applyAlignment="1">
      <alignment horizontal="left" vertical="top" wrapText="1"/>
    </xf>
    <xf numFmtId="0" fontId="137" fillId="0" borderId="0" xfId="97" applyFont="1" applyAlignment="1">
      <alignment vertical="center" wrapText="1"/>
    </xf>
    <xf numFmtId="0" fontId="50" fillId="9" borderId="57" xfId="103" applyFont="1" applyFill="1" applyBorder="1" applyAlignment="1">
      <alignment horizontal="left" vertical="center"/>
    </xf>
    <xf numFmtId="0" fontId="50" fillId="9" borderId="58" xfId="103" applyFont="1" applyFill="1" applyBorder="1" applyAlignment="1">
      <alignment horizontal="left" vertical="center"/>
    </xf>
    <xf numFmtId="0" fontId="50" fillId="9" borderId="59" xfId="103" applyFont="1" applyFill="1" applyBorder="1" applyAlignment="1">
      <alignment horizontal="left" vertical="center"/>
    </xf>
    <xf numFmtId="4" fontId="0" fillId="0" borderId="0" xfId="102" applyNumberFormat="1" applyFont="1" applyAlignment="1">
      <alignment horizontal="right"/>
    </xf>
    <xf numFmtId="4" fontId="83" fillId="67" borderId="2" xfId="102" applyNumberFormat="1" applyFont="1" applyFill="1" applyBorder="1" applyAlignment="1">
      <alignment horizontal="center" vertical="center"/>
    </xf>
    <xf numFmtId="0" fontId="133" fillId="66" borderId="57" xfId="103" applyFont="1" applyFill="1" applyBorder="1" applyAlignment="1">
      <alignment horizontal="left" vertical="center"/>
    </xf>
    <xf numFmtId="0" fontId="133" fillId="66" borderId="58" xfId="103" applyFont="1" applyFill="1" applyBorder="1" applyAlignment="1">
      <alignment horizontal="left" vertical="center"/>
    </xf>
    <xf numFmtId="0" fontId="133" fillId="66" borderId="59" xfId="103" applyFont="1" applyFill="1" applyBorder="1" applyAlignment="1">
      <alignment horizontal="left" vertical="center"/>
    </xf>
    <xf numFmtId="0" fontId="145" fillId="0" borderId="190" xfId="220" applyFont="1" applyBorder="1" applyAlignment="1">
      <alignment horizontal="left" vertical="center" wrapText="1"/>
    </xf>
    <xf numFmtId="0" fontId="145" fillId="0" borderId="84" xfId="220" applyFont="1" applyBorder="1" applyAlignment="1">
      <alignment horizontal="left" vertical="center" wrapText="1"/>
    </xf>
    <xf numFmtId="0" fontId="145" fillId="0" borderId="191" xfId="220" applyFont="1" applyBorder="1" applyAlignment="1">
      <alignment horizontal="left" vertical="center" wrapText="1"/>
    </xf>
    <xf numFmtId="173" fontId="48" fillId="0" borderId="178" xfId="220" applyNumberFormat="1" applyFont="1" applyBorder="1" applyAlignment="1" applyProtection="1">
      <alignment horizontal="left" vertical="center"/>
      <protection locked="0"/>
    </xf>
    <xf numFmtId="173" fontId="48" fillId="0" borderId="179" xfId="220" applyNumberFormat="1" applyFont="1" applyBorder="1" applyAlignment="1" applyProtection="1">
      <alignment horizontal="left" vertical="center"/>
      <protection locked="0"/>
    </xf>
    <xf numFmtId="173" fontId="48" fillId="0" borderId="180" xfId="220" applyNumberFormat="1" applyFont="1" applyBorder="1" applyAlignment="1" applyProtection="1">
      <alignment horizontal="left" vertical="center"/>
      <protection locked="0"/>
    </xf>
    <xf numFmtId="0" fontId="93" fillId="66" borderId="209" xfId="0" applyFont="1" applyFill="1" applyBorder="1" applyAlignment="1">
      <alignment horizontal="left" vertical="center" wrapText="1"/>
    </xf>
    <xf numFmtId="0" fontId="93" fillId="66" borderId="179" xfId="0" applyFont="1" applyFill="1" applyBorder="1" applyAlignment="1">
      <alignment horizontal="left" vertical="center" wrapText="1"/>
    </xf>
    <xf numFmtId="0" fontId="93" fillId="66" borderId="180" xfId="0" applyFont="1" applyFill="1" applyBorder="1" applyAlignment="1">
      <alignment horizontal="left" vertical="center" wrapText="1"/>
    </xf>
    <xf numFmtId="0" fontId="145" fillId="0" borderId="205" xfId="220" applyFont="1" applyBorder="1" applyAlignment="1">
      <alignment horizontal="left" vertical="center" wrapText="1"/>
    </xf>
    <xf numFmtId="0" fontId="145" fillId="0" borderId="206" xfId="220" applyFont="1" applyBorder="1" applyAlignment="1">
      <alignment horizontal="left" vertical="center" wrapText="1"/>
    </xf>
    <xf numFmtId="0" fontId="145" fillId="0" borderId="207" xfId="220" applyFont="1" applyBorder="1" applyAlignment="1">
      <alignment horizontal="left" vertical="center" wrapText="1"/>
    </xf>
    <xf numFmtId="0" fontId="145" fillId="0" borderId="196" xfId="220" applyFont="1" applyBorder="1" applyAlignment="1">
      <alignment horizontal="left" vertical="center" wrapText="1"/>
    </xf>
    <xf numFmtId="0" fontId="145" fillId="0" borderId="197" xfId="220" applyFont="1" applyBorder="1" applyAlignment="1">
      <alignment horizontal="left" vertical="center" wrapText="1"/>
    </xf>
    <xf numFmtId="0" fontId="145" fillId="0" borderId="198" xfId="220" applyFont="1" applyBorder="1" applyAlignment="1">
      <alignment horizontal="left" vertical="center" wrapText="1"/>
    </xf>
    <xf numFmtId="0" fontId="87" fillId="0" borderId="190" xfId="220" applyFont="1" applyBorder="1" applyAlignment="1">
      <alignment horizontal="left" vertical="center" wrapText="1"/>
    </xf>
    <xf numFmtId="0" fontId="87" fillId="0" borderId="84" xfId="220" applyFont="1" applyBorder="1" applyAlignment="1">
      <alignment horizontal="left" vertical="center" wrapText="1"/>
    </xf>
    <xf numFmtId="0" fontId="87" fillId="0" borderId="191" xfId="220" applyFont="1" applyBorder="1" applyAlignment="1">
      <alignment horizontal="left" vertical="center" wrapText="1"/>
    </xf>
    <xf numFmtId="0" fontId="87" fillId="0" borderId="186" xfId="220" applyFont="1" applyBorder="1" applyAlignment="1">
      <alignment horizontal="left" vertical="center" wrapText="1"/>
    </xf>
    <xf numFmtId="0" fontId="87" fillId="0" borderId="187" xfId="220" applyFont="1" applyBorder="1" applyAlignment="1">
      <alignment horizontal="left" vertical="center" wrapText="1"/>
    </xf>
    <xf numFmtId="0" fontId="87" fillId="0" borderId="188" xfId="220" applyFont="1" applyBorder="1" applyAlignment="1">
      <alignment horizontal="left" vertical="center" wrapText="1"/>
    </xf>
    <xf numFmtId="0" fontId="81" fillId="5" borderId="0" xfId="103" applyFont="1" applyFill="1" applyAlignment="1">
      <alignment horizontal="center" vertical="center"/>
    </xf>
    <xf numFmtId="0" fontId="145" fillId="0" borderId="186" xfId="220" applyFont="1" applyBorder="1" applyAlignment="1">
      <alignment horizontal="left" vertical="center" wrapText="1"/>
    </xf>
    <xf numFmtId="0" fontId="145" fillId="0" borderId="187" xfId="220" applyFont="1" applyBorder="1" applyAlignment="1">
      <alignment horizontal="left" vertical="center" wrapText="1"/>
    </xf>
    <xf numFmtId="0" fontId="145" fillId="0" borderId="188" xfId="220" applyFont="1" applyBorder="1" applyAlignment="1">
      <alignment horizontal="left" vertical="center" wrapText="1"/>
    </xf>
    <xf numFmtId="0" fontId="145" fillId="0" borderId="202" xfId="220" applyFont="1" applyBorder="1" applyAlignment="1">
      <alignment horizontal="left" vertical="center" wrapText="1"/>
    </xf>
    <xf numFmtId="0" fontId="145" fillId="0" borderId="203" xfId="220" applyFont="1" applyBorder="1" applyAlignment="1">
      <alignment horizontal="left" vertical="center" wrapText="1"/>
    </xf>
    <xf numFmtId="0" fontId="145" fillId="0" borderId="204" xfId="220" applyFont="1" applyBorder="1" applyAlignment="1">
      <alignment horizontal="left" vertical="center" wrapText="1"/>
    </xf>
    <xf numFmtId="164" fontId="139" fillId="17" borderId="10" xfId="79" applyFont="1" applyFill="1" applyBorder="1" applyAlignment="1">
      <alignment horizontal="center" vertical="center" wrapText="1"/>
    </xf>
    <xf numFmtId="164" fontId="139" fillId="17" borderId="152" xfId="79" applyFont="1" applyFill="1" applyBorder="1" applyAlignment="1">
      <alignment horizontal="center" vertical="center" wrapText="1"/>
    </xf>
    <xf numFmtId="164" fontId="80" fillId="62" borderId="150" xfId="79" applyFont="1" applyFill="1" applyBorder="1" applyAlignment="1">
      <alignment horizontal="center" vertical="center" wrapText="1"/>
    </xf>
    <xf numFmtId="164" fontId="80" fillId="62" borderId="153" xfId="79" applyFont="1" applyFill="1" applyBorder="1" applyAlignment="1">
      <alignment horizontal="center" vertical="center" wrapText="1"/>
    </xf>
    <xf numFmtId="164" fontId="139" fillId="17" borderId="150" xfId="79" applyFont="1" applyFill="1" applyBorder="1" applyAlignment="1">
      <alignment horizontal="center" vertical="center" wrapText="1"/>
    </xf>
    <xf numFmtId="164" fontId="139" fillId="17" borderId="153" xfId="79" applyFont="1" applyFill="1" applyBorder="1" applyAlignment="1">
      <alignment horizontal="center" vertical="center" wrapText="1"/>
    </xf>
    <xf numFmtId="164" fontId="26" fillId="0" borderId="24" xfId="79" applyFont="1" applyBorder="1" applyAlignment="1">
      <alignment horizontal="center" vertical="center" wrapText="1"/>
    </xf>
    <xf numFmtId="164" fontId="26" fillId="0" borderId="27" xfId="79" applyFont="1" applyBorder="1" applyAlignment="1">
      <alignment horizontal="center" vertical="center" wrapText="1"/>
    </xf>
    <xf numFmtId="164" fontId="80" fillId="62" borderId="149" xfId="79" applyFont="1" applyFill="1" applyBorder="1" applyAlignment="1">
      <alignment horizontal="center" vertical="center" wrapText="1"/>
    </xf>
    <xf numFmtId="164" fontId="80" fillId="62" borderId="151" xfId="79" applyFont="1" applyFill="1" applyBorder="1" applyAlignment="1">
      <alignment horizontal="center" vertical="center" wrapText="1"/>
    </xf>
    <xf numFmtId="164" fontId="80" fillId="62" borderId="10" xfId="79" applyFont="1" applyFill="1" applyBorder="1" applyAlignment="1">
      <alignment horizontal="center" vertical="center" wrapText="1"/>
    </xf>
    <xf numFmtId="164" fontId="80" fillId="62" borderId="152" xfId="79" applyFont="1" applyFill="1" applyBorder="1" applyAlignment="1">
      <alignment horizontal="center" vertical="center" wrapText="1"/>
    </xf>
    <xf numFmtId="164" fontId="80" fillId="62" borderId="164" xfId="79" applyFont="1" applyFill="1" applyBorder="1" applyAlignment="1">
      <alignment horizontal="center" vertical="center" wrapText="1"/>
    </xf>
    <xf numFmtId="164" fontId="80" fillId="62" borderId="165" xfId="79" applyFont="1" applyFill="1" applyBorder="1" applyAlignment="1">
      <alignment horizontal="center" vertical="center" wrapText="1"/>
    </xf>
    <xf numFmtId="164" fontId="139" fillId="17" borderId="164" xfId="79" applyFont="1" applyFill="1" applyBorder="1" applyAlignment="1">
      <alignment horizontal="center" vertical="center" wrapText="1"/>
    </xf>
    <xf numFmtId="164" fontId="139" fillId="17" borderId="165" xfId="79" applyFont="1" applyFill="1" applyBorder="1" applyAlignment="1">
      <alignment horizontal="center" vertical="center" wrapText="1"/>
    </xf>
    <xf numFmtId="164" fontId="80" fillId="62" borderId="264" xfId="79" applyFont="1" applyFill="1" applyBorder="1" applyAlignment="1">
      <alignment horizontal="center" vertical="center" wrapText="1"/>
    </xf>
    <xf numFmtId="164" fontId="80" fillId="62" borderId="265" xfId="79" applyFont="1" applyFill="1" applyBorder="1" applyAlignment="1">
      <alignment horizontal="center" vertical="center" wrapText="1"/>
    </xf>
    <xf numFmtId="164" fontId="80" fillId="62" borderId="266" xfId="79" applyFont="1" applyFill="1" applyBorder="1" applyAlignment="1">
      <alignment horizontal="center" vertical="center" wrapText="1"/>
    </xf>
    <xf numFmtId="164" fontId="139" fillId="17" borderId="149" xfId="79" applyFont="1" applyFill="1" applyBorder="1" applyAlignment="1">
      <alignment horizontal="center" vertical="center" wrapText="1"/>
    </xf>
    <xf numFmtId="164" fontId="139" fillId="17" borderId="151" xfId="79" applyFont="1" applyFill="1" applyBorder="1" applyAlignment="1">
      <alignment horizontal="center" vertical="center" wrapText="1"/>
    </xf>
    <xf numFmtId="164" fontId="139" fillId="17" borderId="26" xfId="79" applyFont="1" applyFill="1" applyBorder="1" applyAlignment="1">
      <alignment horizontal="center" vertical="center" wrapText="1"/>
    </xf>
    <xf numFmtId="164" fontId="139" fillId="17" borderId="8" xfId="79" applyFont="1" applyFill="1" applyBorder="1" applyAlignment="1">
      <alignment horizontal="center" vertical="center" wrapText="1"/>
    </xf>
    <xf numFmtId="164" fontId="139" fillId="17" borderId="13" xfId="79" applyFont="1" applyFill="1" applyBorder="1" applyAlignment="1">
      <alignment horizontal="center" vertical="center" wrapText="1"/>
    </xf>
    <xf numFmtId="0" fontId="83" fillId="67" borderId="24" xfId="0" applyFont="1" applyFill="1" applyBorder="1" applyAlignment="1">
      <alignment horizontal="center" vertical="center" wrapText="1"/>
    </xf>
    <xf numFmtId="0" fontId="83" fillId="67" borderId="25" xfId="0" applyFont="1" applyFill="1" applyBorder="1" applyAlignment="1">
      <alignment horizontal="center" vertical="center" wrapText="1"/>
    </xf>
    <xf numFmtId="0" fontId="83" fillId="67" borderId="27" xfId="0" applyFont="1" applyFill="1" applyBorder="1" applyAlignment="1">
      <alignment horizontal="center" vertical="center" wrapText="1"/>
    </xf>
    <xf numFmtId="0" fontId="93" fillId="12" borderId="174" xfId="0" applyFont="1" applyFill="1" applyBorder="1" applyAlignment="1">
      <alignment horizontal="center" vertical="center" wrapText="1"/>
    </xf>
    <xf numFmtId="0" fontId="93" fillId="12" borderId="175" xfId="0" applyFont="1" applyFill="1" applyBorder="1" applyAlignment="1">
      <alignment horizontal="center" vertical="center" wrapText="1"/>
    </xf>
    <xf numFmtId="0" fontId="133" fillId="66" borderId="116" xfId="103" applyFont="1" applyFill="1" applyBorder="1" applyAlignment="1">
      <alignment horizontal="left" vertical="center"/>
    </xf>
    <xf numFmtId="0" fontId="133" fillId="66" borderId="117" xfId="103" applyFont="1" applyFill="1" applyBorder="1" applyAlignment="1">
      <alignment horizontal="left" vertical="center"/>
    </xf>
    <xf numFmtId="0" fontId="83" fillId="11" borderId="63" xfId="217" applyFont="1" applyFill="1" applyBorder="1" applyAlignment="1">
      <alignment horizontal="center" vertical="center" wrapText="1"/>
    </xf>
    <xf numFmtId="0" fontId="83" fillId="11" borderId="64" xfId="217" applyFont="1" applyFill="1" applyBorder="1" applyAlignment="1">
      <alignment horizontal="center" vertical="center" wrapText="1"/>
    </xf>
    <xf numFmtId="0" fontId="83" fillId="11" borderId="173" xfId="217" applyFont="1" applyFill="1" applyBorder="1" applyAlignment="1">
      <alignment horizontal="center" vertical="center" wrapText="1"/>
    </xf>
    <xf numFmtId="0" fontId="83" fillId="11" borderId="78" xfId="217" applyFont="1" applyFill="1" applyBorder="1" applyAlignment="1">
      <alignment horizontal="center" vertical="center" wrapText="1"/>
    </xf>
    <xf numFmtId="0" fontId="97" fillId="7" borderId="308" xfId="217" applyFont="1" applyFill="1" applyBorder="1" applyAlignment="1">
      <alignment horizontal="left" vertical="center" indent="1"/>
    </xf>
    <xf numFmtId="0" fontId="97" fillId="7" borderId="309" xfId="217" applyFont="1" applyFill="1" applyBorder="1" applyAlignment="1">
      <alignment horizontal="left" vertical="center" indent="1"/>
    </xf>
    <xf numFmtId="0" fontId="50" fillId="66" borderId="235" xfId="222" applyFont="1" applyFill="1" applyBorder="1" applyAlignment="1">
      <alignment horizontal="left"/>
    </xf>
    <xf numFmtId="0" fontId="50" fillId="66" borderId="0" xfId="222" applyFont="1" applyFill="1" applyAlignment="1">
      <alignment horizontal="left"/>
    </xf>
    <xf numFmtId="0" fontId="30" fillId="67" borderId="60" xfId="217" applyFont="1" applyFill="1" applyBorder="1" applyAlignment="1">
      <alignment horizontal="center" vertical="center"/>
    </xf>
    <xf numFmtId="0" fontId="30" fillId="67" borderId="61" xfId="217" applyFont="1" applyFill="1" applyBorder="1" applyAlignment="1">
      <alignment horizontal="center" vertical="center"/>
    </xf>
    <xf numFmtId="0" fontId="30" fillId="67" borderId="62" xfId="217" applyFont="1" applyFill="1" applyBorder="1" applyAlignment="1">
      <alignment horizontal="center" vertical="center"/>
    </xf>
    <xf numFmtId="0" fontId="83" fillId="67" borderId="173" xfId="217" applyFont="1" applyFill="1" applyBorder="1" applyAlignment="1">
      <alignment horizontal="center" vertical="center" wrapText="1"/>
    </xf>
    <xf numFmtId="0" fontId="83" fillId="67" borderId="77" xfId="217" applyFont="1" applyFill="1" applyBorder="1" applyAlignment="1">
      <alignment horizontal="center" vertical="center" wrapText="1"/>
    </xf>
    <xf numFmtId="0" fontId="83" fillId="67" borderId="78" xfId="217" applyFont="1" applyFill="1" applyBorder="1" applyAlignment="1">
      <alignment horizontal="center" vertical="center" wrapText="1"/>
    </xf>
    <xf numFmtId="0" fontId="30" fillId="67" borderId="312" xfId="217" applyFont="1" applyFill="1" applyBorder="1" applyAlignment="1">
      <alignment horizontal="center" vertical="center"/>
    </xf>
    <xf numFmtId="0" fontId="83" fillId="59" borderId="246" xfId="217" applyFont="1" applyFill="1" applyBorder="1" applyAlignment="1">
      <alignment horizontal="center" vertical="center" wrapText="1"/>
    </xf>
    <xf numFmtId="0" fontId="83" fillId="59" borderId="246" xfId="217" applyFont="1" applyFill="1" applyBorder="1" applyAlignment="1">
      <alignment horizontal="center" vertical="center"/>
    </xf>
    <xf numFmtId="0" fontId="28" fillId="59" borderId="246" xfId="217" applyFont="1" applyFill="1" applyBorder="1" applyAlignment="1">
      <alignment horizontal="center" vertical="center"/>
    </xf>
    <xf numFmtId="0" fontId="50" fillId="66" borderId="136" xfId="225" applyFont="1" applyFill="1" applyBorder="1" applyAlignment="1">
      <alignment horizontal="left"/>
    </xf>
    <xf numFmtId="0" fontId="50" fillId="66" borderId="137" xfId="225" applyFont="1" applyFill="1" applyBorder="1" applyAlignment="1">
      <alignment horizontal="left"/>
    </xf>
    <xf numFmtId="0" fontId="28" fillId="5" borderId="0" xfId="217" applyFont="1" applyFill="1" applyAlignment="1">
      <alignment horizontal="center" vertical="center" wrapText="1"/>
    </xf>
    <xf numFmtId="0" fontId="28" fillId="5" borderId="245" xfId="217" applyFont="1" applyFill="1" applyBorder="1" applyAlignment="1">
      <alignment horizontal="center" vertical="center" wrapText="1"/>
    </xf>
    <xf numFmtId="0" fontId="83" fillId="68" borderId="246" xfId="217" applyFont="1" applyFill="1" applyBorder="1" applyAlignment="1">
      <alignment horizontal="center" vertical="center" wrapText="1"/>
    </xf>
    <xf numFmtId="0" fontId="83" fillId="68" borderId="246" xfId="217" applyFont="1" applyFill="1" applyBorder="1" applyAlignment="1">
      <alignment horizontal="center" vertical="center"/>
    </xf>
    <xf numFmtId="0" fontId="28" fillId="68" borderId="246" xfId="217" applyFont="1" applyFill="1" applyBorder="1" applyAlignment="1">
      <alignment horizontal="center" vertical="center"/>
    </xf>
    <xf numFmtId="167" fontId="26" fillId="0" borderId="24" xfId="217" applyNumberFormat="1" applyBorder="1" applyAlignment="1">
      <alignment horizontal="center" vertical="center" wrapText="1"/>
    </xf>
    <xf numFmtId="167" fontId="26" fillId="0" borderId="25" xfId="217" applyNumberFormat="1" applyBorder="1" applyAlignment="1">
      <alignment horizontal="center" vertical="center" wrapText="1"/>
    </xf>
    <xf numFmtId="167" fontId="149" fillId="3" borderId="326" xfId="103" applyNumberFormat="1" applyFont="1" applyFill="1" applyBorder="1" applyAlignment="1">
      <alignment horizontal="center" vertical="center"/>
    </xf>
    <xf numFmtId="167" fontId="149" fillId="3" borderId="139" xfId="103" applyNumberFormat="1" applyFont="1" applyFill="1" applyBorder="1" applyAlignment="1">
      <alignment horizontal="center" vertical="center"/>
    </xf>
    <xf numFmtId="0" fontId="86" fillId="0" borderId="49" xfId="103" applyFont="1" applyBorder="1" applyAlignment="1">
      <alignment horizontal="center" vertical="center" wrapText="1"/>
    </xf>
    <xf numFmtId="0" fontId="86" fillId="0" borderId="50" xfId="103" applyFont="1" applyBorder="1" applyAlignment="1">
      <alignment horizontal="center" vertical="center" wrapText="1"/>
    </xf>
    <xf numFmtId="4" fontId="148" fillId="3" borderId="326" xfId="103" applyNumberFormat="1" applyFont="1" applyFill="1" applyBorder="1" applyAlignment="1">
      <alignment horizontal="right" vertical="center"/>
    </xf>
    <xf numFmtId="4" fontId="148" fillId="3" borderId="139" xfId="103" applyNumberFormat="1" applyFont="1" applyFill="1" applyBorder="1" applyAlignment="1">
      <alignment horizontal="right" vertical="center"/>
    </xf>
    <xf numFmtId="0" fontId="85" fillId="5" borderId="326" xfId="103" applyFont="1" applyFill="1" applyBorder="1" applyAlignment="1">
      <alignment horizontal="center" vertical="center"/>
    </xf>
    <xf numFmtId="0" fontId="85" fillId="5" borderId="139" xfId="103" applyFont="1" applyFill="1" applyBorder="1" applyAlignment="1">
      <alignment horizontal="center" vertical="center"/>
    </xf>
    <xf numFmtId="0" fontId="86" fillId="0" borderId="49" xfId="103" applyFont="1" applyBorder="1" applyAlignment="1">
      <alignment horizontal="left" vertical="center" wrapText="1" indent="1"/>
    </xf>
    <xf numFmtId="0" fontId="86" fillId="0" borderId="50" xfId="103" applyFont="1" applyBorder="1" applyAlignment="1">
      <alignment horizontal="left" vertical="center" wrapText="1" indent="1"/>
    </xf>
    <xf numFmtId="0" fontId="86" fillId="0" borderId="51" xfId="103" applyFont="1" applyBorder="1" applyAlignment="1">
      <alignment horizontal="left" vertical="center" wrapText="1" indent="1"/>
    </xf>
    <xf numFmtId="0" fontId="82" fillId="11" borderId="230" xfId="103" applyFont="1" applyFill="1" applyBorder="1" applyAlignment="1">
      <alignment horizontal="left" vertical="center" indent="1"/>
    </xf>
    <xf numFmtId="0" fontId="82" fillId="11" borderId="0" xfId="103" applyFont="1" applyFill="1" applyAlignment="1">
      <alignment horizontal="left" vertical="center" indent="1"/>
    </xf>
    <xf numFmtId="0" fontId="74" fillId="67" borderId="242" xfId="103" applyFont="1" applyFill="1" applyBorder="1" applyAlignment="1">
      <alignment horizontal="right" vertical="center"/>
    </xf>
    <xf numFmtId="0" fontId="74" fillId="67" borderId="243" xfId="103" applyFont="1" applyFill="1" applyBorder="1" applyAlignment="1">
      <alignment horizontal="right" vertical="center"/>
    </xf>
    <xf numFmtId="0" fontId="74" fillId="67" borderId="244" xfId="103" applyFont="1" applyFill="1" applyBorder="1" applyAlignment="1">
      <alignment horizontal="right" vertical="center"/>
    </xf>
    <xf numFmtId="0" fontId="89" fillId="5" borderId="49" xfId="103" applyFont="1" applyFill="1" applyBorder="1" applyAlignment="1">
      <alignment horizontal="left" vertical="center" wrapText="1" indent="1"/>
    </xf>
    <xf numFmtId="0" fontId="89" fillId="5" borderId="50" xfId="103" applyFont="1" applyFill="1" applyBorder="1" applyAlignment="1">
      <alignment horizontal="left" vertical="center" wrapText="1" indent="1"/>
    </xf>
    <xf numFmtId="0" fontId="89" fillId="5" borderId="51" xfId="103" applyFont="1" applyFill="1" applyBorder="1" applyAlignment="1">
      <alignment horizontal="left" vertical="center" wrapText="1" indent="1"/>
    </xf>
    <xf numFmtId="0" fontId="89" fillId="0" borderId="49" xfId="103" applyFont="1" applyBorder="1" applyAlignment="1">
      <alignment horizontal="left" vertical="center" wrapText="1" indent="1"/>
    </xf>
    <xf numFmtId="0" fontId="89" fillId="0" borderId="50" xfId="103" applyFont="1" applyBorder="1" applyAlignment="1">
      <alignment horizontal="left" vertical="center" wrapText="1" indent="1"/>
    </xf>
    <xf numFmtId="0" fontId="89" fillId="0" borderId="51" xfId="103" applyFont="1" applyBorder="1" applyAlignment="1">
      <alignment horizontal="left" vertical="center" wrapText="1" indent="1"/>
    </xf>
    <xf numFmtId="0" fontId="82" fillId="6" borderId="230" xfId="103" applyFont="1" applyFill="1" applyBorder="1" applyAlignment="1">
      <alignment horizontal="left" vertical="center" indent="1"/>
    </xf>
    <xf numFmtId="0" fontId="82" fillId="6" borderId="0" xfId="103" applyFont="1" applyFill="1" applyAlignment="1">
      <alignment horizontal="left" vertical="center" indent="1"/>
    </xf>
    <xf numFmtId="14" fontId="28" fillId="4" borderId="310" xfId="103" applyNumberFormat="1" applyFont="1" applyFill="1" applyBorder="1" applyAlignment="1">
      <alignment horizontal="center" vertical="center"/>
    </xf>
    <xf numFmtId="14" fontId="28" fillId="4" borderId="311" xfId="103" applyNumberFormat="1" applyFont="1" applyFill="1" applyBorder="1" applyAlignment="1">
      <alignment horizontal="center" vertical="center"/>
    </xf>
    <xf numFmtId="3" fontId="83" fillId="0" borderId="144" xfId="0" applyNumberFormat="1" applyFont="1" applyBorder="1" applyAlignment="1">
      <alignment horizontal="center" vertical="center" wrapText="1"/>
    </xf>
    <xf numFmtId="3" fontId="83" fillId="0" borderId="142" xfId="0" applyNumberFormat="1" applyFont="1" applyBorder="1" applyAlignment="1">
      <alignment horizontal="center" vertical="center" wrapText="1"/>
    </xf>
    <xf numFmtId="0" fontId="133" fillId="66" borderId="136" xfId="206" applyFont="1" applyFill="1" applyBorder="1" applyAlignment="1">
      <alignment horizontal="left"/>
    </xf>
    <xf numFmtId="0" fontId="133" fillId="66" borderId="137" xfId="206" applyFont="1" applyFill="1" applyBorder="1" applyAlignment="1">
      <alignment horizontal="left"/>
    </xf>
    <xf numFmtId="3" fontId="83" fillId="5" borderId="10" xfId="0" applyNumberFormat="1" applyFont="1" applyFill="1" applyBorder="1" applyAlignment="1">
      <alignment horizontal="center" vertical="center" wrapText="1"/>
    </xf>
    <xf numFmtId="3" fontId="83" fillId="5" borderId="142" xfId="0" applyNumberFormat="1" applyFont="1" applyFill="1" applyBorder="1" applyAlignment="1">
      <alignment horizontal="center" vertical="center" wrapText="1"/>
    </xf>
    <xf numFmtId="167" fontId="83" fillId="0" borderId="307" xfId="0" applyNumberFormat="1" applyFont="1" applyBorder="1" applyAlignment="1">
      <alignment horizontal="center" vertical="center" wrapText="1"/>
    </xf>
    <xf numFmtId="167" fontId="83" fillId="0" borderId="142" xfId="0" applyNumberFormat="1" applyFont="1" applyBorder="1" applyAlignment="1">
      <alignment horizontal="center" vertical="center" wrapText="1"/>
    </xf>
    <xf numFmtId="167" fontId="83" fillId="0" borderId="325" xfId="0" applyNumberFormat="1" applyFont="1" applyBorder="1" applyAlignment="1">
      <alignment horizontal="center" vertical="center" wrapText="1"/>
    </xf>
    <xf numFmtId="3" fontId="83" fillId="0" borderId="325" xfId="0" applyNumberFormat="1" applyFont="1" applyBorder="1" applyAlignment="1">
      <alignment horizontal="center" vertical="center" wrapText="1"/>
    </xf>
    <xf numFmtId="0" fontId="156" fillId="67" borderId="1" xfId="103" applyFont="1" applyFill="1" applyBorder="1" applyAlignment="1">
      <alignment horizontal="right" vertical="center"/>
    </xf>
    <xf numFmtId="0" fontId="156" fillId="67" borderId="9" xfId="103" applyFont="1" applyFill="1" applyBorder="1" applyAlignment="1">
      <alignment horizontal="right" vertical="center"/>
    </xf>
    <xf numFmtId="0" fontId="156" fillId="67" borderId="14" xfId="103" applyFont="1" applyFill="1" applyBorder="1" applyAlignment="1">
      <alignment horizontal="right" vertical="center"/>
    </xf>
    <xf numFmtId="0" fontId="82" fillId="4" borderId="21" xfId="103" applyFont="1" applyFill="1" applyBorder="1" applyAlignment="1">
      <alignment horizontal="left" vertical="center" indent="1"/>
    </xf>
    <xf numFmtId="0" fontId="47" fillId="4" borderId="21" xfId="103" applyFont="1" applyFill="1" applyBorder="1" applyAlignment="1">
      <alignment horizontal="left" vertical="center" indent="1"/>
    </xf>
    <xf numFmtId="0" fontId="82" fillId="4" borderId="0" xfId="103" applyFont="1" applyFill="1" applyAlignment="1">
      <alignment horizontal="left" vertical="center" indent="1"/>
    </xf>
    <xf numFmtId="0" fontId="47" fillId="4" borderId="0" xfId="103" applyFont="1" applyFill="1" applyAlignment="1">
      <alignment horizontal="left" vertical="center" indent="1"/>
    </xf>
    <xf numFmtId="0" fontId="155" fillId="67" borderId="17" xfId="103" applyFont="1" applyFill="1" applyBorder="1" applyAlignment="1">
      <alignment horizontal="right" vertical="center"/>
    </xf>
    <xf numFmtId="0" fontId="155" fillId="67" borderId="9" xfId="103" applyFont="1" applyFill="1" applyBorder="1" applyAlignment="1">
      <alignment horizontal="right" vertical="center"/>
    </xf>
    <xf numFmtId="0" fontId="155" fillId="67" borderId="14" xfId="103" applyFont="1" applyFill="1" applyBorder="1" applyAlignment="1">
      <alignment horizontal="right" vertical="center"/>
    </xf>
    <xf numFmtId="0" fontId="48" fillId="67" borderId="57" xfId="0" applyFont="1" applyFill="1" applyBorder="1" applyAlignment="1">
      <alignment horizontal="center" vertical="center"/>
    </xf>
    <xf numFmtId="0" fontId="102" fillId="67" borderId="58" xfId="0" applyFont="1" applyFill="1" applyBorder="1" applyAlignment="1">
      <alignment horizontal="center" vertical="center"/>
    </xf>
    <xf numFmtId="0" fontId="102" fillId="67" borderId="59" xfId="0" applyFont="1" applyFill="1" applyBorder="1" applyAlignment="1">
      <alignment horizontal="center" vertical="center"/>
    </xf>
    <xf numFmtId="0" fontId="48" fillId="67" borderId="86" xfId="0" applyFont="1" applyFill="1" applyBorder="1" applyAlignment="1">
      <alignment horizontal="center" vertical="center"/>
    </xf>
    <xf numFmtId="0" fontId="102" fillId="67" borderId="87" xfId="0" applyFont="1" applyFill="1" applyBorder="1" applyAlignment="1">
      <alignment horizontal="center" vertical="center"/>
    </xf>
    <xf numFmtId="0" fontId="102" fillId="67" borderId="92" xfId="0" applyFont="1" applyFill="1" applyBorder="1" applyAlignment="1">
      <alignment horizontal="center" vertical="center"/>
    </xf>
    <xf numFmtId="0" fontId="109" fillId="0" borderId="304" xfId="229" applyFont="1" applyBorder="1" applyAlignment="1">
      <alignment vertical="center" wrapText="1"/>
    </xf>
    <xf numFmtId="0" fontId="109" fillId="0" borderId="305" xfId="229" applyFont="1" applyBorder="1" applyAlignment="1">
      <alignment vertical="center" wrapText="1"/>
    </xf>
    <xf numFmtId="0" fontId="109" fillId="0" borderId="300" xfId="229" applyFont="1" applyBorder="1" applyAlignment="1">
      <alignment vertical="center" wrapText="1"/>
    </xf>
    <xf numFmtId="0" fontId="109" fillId="0" borderId="301" xfId="229" applyFont="1" applyBorder="1" applyAlignment="1">
      <alignment vertical="center" wrapText="1"/>
    </xf>
    <xf numFmtId="0" fontId="109" fillId="0" borderId="109" xfId="229" applyFont="1" applyBorder="1" applyAlignment="1">
      <alignment vertical="center" wrapText="1"/>
    </xf>
    <xf numFmtId="0" fontId="109" fillId="0" borderId="110" xfId="229" applyFont="1" applyBorder="1" applyAlignment="1">
      <alignment vertical="center" wrapText="1"/>
    </xf>
    <xf numFmtId="0" fontId="109" fillId="0" borderId="147" xfId="229" applyFont="1" applyBorder="1" applyAlignment="1">
      <alignment vertical="center" wrapText="1"/>
    </xf>
    <xf numFmtId="14" fontId="109" fillId="0" borderId="299" xfId="229" applyNumberFormat="1" applyFont="1" applyBorder="1" applyAlignment="1">
      <alignment horizontal="left" vertical="center" wrapText="1"/>
    </xf>
    <xf numFmtId="0" fontId="109" fillId="0" borderId="299" xfId="229" applyFont="1" applyBorder="1" applyAlignment="1">
      <alignment horizontal="left" vertical="center" wrapText="1"/>
    </xf>
    <xf numFmtId="0" fontId="109" fillId="0" borderId="73" xfId="97" applyFont="1" applyBorder="1" applyAlignment="1">
      <alignment horizontal="left" vertical="center" wrapText="1"/>
    </xf>
    <xf numFmtId="0" fontId="109" fillId="0" borderId="75" xfId="97" applyFont="1" applyBorder="1" applyAlignment="1">
      <alignment horizontal="left" vertical="center" wrapText="1"/>
    </xf>
    <xf numFmtId="0" fontId="109" fillId="0" borderId="299" xfId="229" applyFont="1" applyBorder="1" applyAlignment="1">
      <alignment vertical="center" wrapText="1"/>
    </xf>
    <xf numFmtId="0" fontId="160" fillId="0" borderId="327" xfId="234" applyFont="1" applyBorder="1"/>
    <xf numFmtId="0" fontId="28" fillId="0" borderId="242" xfId="234" applyFont="1" applyBorder="1" applyAlignment="1">
      <alignment horizontal="center"/>
    </xf>
    <xf numFmtId="0" fontId="28" fillId="0" borderId="244" xfId="234" applyFont="1" applyBorder="1" applyAlignment="1">
      <alignment horizontal="center"/>
    </xf>
    <xf numFmtId="0" fontId="28" fillId="0" borderId="289" xfId="234" applyFont="1" applyBorder="1" applyAlignment="1">
      <alignment vertical="center"/>
    </xf>
    <xf numFmtId="0" fontId="26" fillId="0" borderId="242" xfId="234" applyBorder="1" applyAlignment="1">
      <alignment horizontal="center" vertical="center"/>
    </xf>
    <xf numFmtId="0" fontId="26" fillId="0" borderId="244" xfId="234" applyBorder="1" applyAlignment="1">
      <alignment horizontal="center" vertical="center"/>
    </xf>
    <xf numFmtId="0" fontId="28" fillId="0" borderId="242" xfId="234" applyFont="1" applyBorder="1" applyAlignment="1">
      <alignment vertical="center"/>
    </xf>
    <xf numFmtId="0" fontId="28" fillId="0" borderId="243" xfId="234" applyFont="1" applyBorder="1" applyAlignment="1">
      <alignment vertical="center"/>
    </xf>
    <xf numFmtId="0" fontId="28" fillId="0" borderId="244" xfId="234" applyFont="1" applyBorder="1" applyAlignment="1">
      <alignment vertical="center"/>
    </xf>
    <xf numFmtId="0" fontId="160" fillId="0" borderId="7" xfId="207" applyFont="1" applyBorder="1" applyAlignment="1">
      <alignment horizontal="center" vertical="center"/>
    </xf>
    <xf numFmtId="0" fontId="160" fillId="0" borderId="8" xfId="207" applyFont="1" applyBorder="1" applyAlignment="1">
      <alignment horizontal="center" vertical="center"/>
    </xf>
    <xf numFmtId="4" fontId="160" fillId="0" borderId="7" xfId="207" applyNumberFormat="1" applyFont="1" applyBorder="1" applyAlignment="1">
      <alignment horizontal="center" vertical="center"/>
    </xf>
    <xf numFmtId="4" fontId="160" fillId="0" borderId="8" xfId="207" applyNumberFormat="1" applyFont="1" applyBorder="1" applyAlignment="1">
      <alignment horizontal="center" vertical="center"/>
    </xf>
    <xf numFmtId="4" fontId="160" fillId="0" borderId="11" xfId="207" applyNumberFormat="1" applyFont="1" applyBorder="1" applyAlignment="1">
      <alignment horizontal="center" vertical="center"/>
    </xf>
    <xf numFmtId="4" fontId="26" fillId="0" borderId="10" xfId="207" applyNumberFormat="1" applyBorder="1" applyAlignment="1">
      <alignment horizontal="center" vertical="center" wrapText="1"/>
    </xf>
    <xf numFmtId="4" fontId="26" fillId="0" borderId="152" xfId="207" applyNumberFormat="1" applyBorder="1" applyAlignment="1">
      <alignment horizontal="center" vertical="center" wrapText="1"/>
    </xf>
    <xf numFmtId="14" fontId="26" fillId="0" borderId="10" xfId="207" applyNumberFormat="1" applyBorder="1" applyAlignment="1">
      <alignment horizontal="center" vertical="center" wrapText="1"/>
    </xf>
    <xf numFmtId="14" fontId="26" fillId="0" borderId="152" xfId="207" applyNumberFormat="1" applyBorder="1" applyAlignment="1">
      <alignment horizontal="center" vertical="center" wrapText="1"/>
    </xf>
    <xf numFmtId="4" fontId="26" fillId="0" borderId="269" xfId="207" applyNumberFormat="1" applyBorder="1" applyAlignment="1">
      <alignment horizontal="center" vertical="center" wrapText="1"/>
    </xf>
    <xf numFmtId="4" fontId="26" fillId="0" borderId="272" xfId="207" applyNumberFormat="1" applyBorder="1" applyAlignment="1">
      <alignment horizontal="center" vertical="center" wrapText="1"/>
    </xf>
    <xf numFmtId="14" fontId="26" fillId="0" borderId="19" xfId="207" applyNumberFormat="1" applyBorder="1" applyAlignment="1">
      <alignment horizontal="center" vertical="center" wrapText="1"/>
    </xf>
    <xf numFmtId="14" fontId="26" fillId="0" borderId="15" xfId="207" applyNumberFormat="1" applyBorder="1" applyAlignment="1">
      <alignment horizontal="center" vertical="center" wrapText="1"/>
    </xf>
    <xf numFmtId="14" fontId="160" fillId="0" borderId="15" xfId="207" applyNumberFormat="1" applyFont="1" applyBorder="1" applyAlignment="1">
      <alignment horizontal="center" vertical="center"/>
    </xf>
    <xf numFmtId="14" fontId="160" fillId="0" borderId="12" xfId="207" applyNumberFormat="1" applyFont="1" applyBorder="1" applyAlignment="1">
      <alignment horizontal="center" vertical="center"/>
    </xf>
    <xf numFmtId="14" fontId="160" fillId="0" borderId="29" xfId="207" applyNumberFormat="1" applyFont="1" applyBorder="1" applyAlignment="1">
      <alignment horizontal="center" vertical="center"/>
    </xf>
    <xf numFmtId="14" fontId="26" fillId="0" borderId="149" xfId="207" applyNumberFormat="1" applyBorder="1" applyAlignment="1">
      <alignment horizontal="center" vertical="center" wrapText="1"/>
    </xf>
    <xf numFmtId="14" fontId="26" fillId="0" borderId="151" xfId="207" applyNumberFormat="1" applyBorder="1" applyAlignment="1">
      <alignment horizontal="center" vertical="center" wrapText="1"/>
    </xf>
    <xf numFmtId="0" fontId="26" fillId="0" borderId="24" xfId="207" applyBorder="1" applyAlignment="1">
      <alignment horizontal="center" vertical="center" wrapText="1"/>
    </xf>
    <xf numFmtId="0" fontId="26" fillId="0" borderId="27" xfId="207" applyBorder="1" applyAlignment="1">
      <alignment horizontal="center" vertical="center" wrapText="1"/>
    </xf>
    <xf numFmtId="4" fontId="0" fillId="0" borderId="24" xfId="215" applyNumberFormat="1" applyFont="1" applyBorder="1" applyAlignment="1">
      <alignment horizontal="center" vertical="center" wrapText="1"/>
    </xf>
    <xf numFmtId="4" fontId="0" fillId="0" borderId="27" xfId="215" applyNumberFormat="1" applyFont="1" applyBorder="1" applyAlignment="1">
      <alignment horizontal="center" vertical="center" wrapText="1"/>
    </xf>
    <xf numFmtId="4" fontId="26" fillId="0" borderId="149" xfId="215" applyNumberFormat="1" applyFont="1" applyBorder="1" applyAlignment="1">
      <alignment horizontal="center" vertical="center" wrapText="1"/>
    </xf>
    <xf numFmtId="4" fontId="0" fillId="0" borderId="151" xfId="215" applyNumberFormat="1" applyFont="1" applyBorder="1" applyAlignment="1">
      <alignment horizontal="center" vertical="center" wrapText="1"/>
    </xf>
    <xf numFmtId="4" fontId="0" fillId="0" borderId="10" xfId="215" applyNumberFormat="1" applyFont="1" applyBorder="1" applyAlignment="1">
      <alignment horizontal="center" vertical="center" wrapText="1"/>
    </xf>
    <xf numFmtId="4" fontId="0" fillId="0" borderId="152" xfId="215" applyNumberFormat="1" applyFont="1" applyBorder="1" applyAlignment="1">
      <alignment horizontal="center" vertical="center" wrapText="1"/>
    </xf>
    <xf numFmtId="14" fontId="26" fillId="0" borderId="24" xfId="207" applyNumberFormat="1" applyBorder="1" applyAlignment="1">
      <alignment horizontal="center" vertical="center" wrapText="1"/>
    </xf>
    <xf numFmtId="14" fontId="26" fillId="0" borderId="27" xfId="207" applyNumberFormat="1" applyBorder="1" applyAlignment="1">
      <alignment horizontal="center" vertical="center" wrapText="1"/>
    </xf>
    <xf numFmtId="4" fontId="26" fillId="0" borderId="10" xfId="215" applyNumberFormat="1" applyFont="1" applyBorder="1" applyAlignment="1">
      <alignment horizontal="center" vertical="center" wrapText="1"/>
    </xf>
    <xf numFmtId="0" fontId="160" fillId="0" borderId="11" xfId="207" applyFont="1" applyBorder="1" applyAlignment="1">
      <alignment horizontal="center" vertical="center"/>
    </xf>
    <xf numFmtId="4" fontId="0" fillId="0" borderId="264" xfId="215" applyNumberFormat="1" applyFont="1" applyBorder="1" applyAlignment="1">
      <alignment horizontal="center" vertical="center"/>
    </xf>
    <xf numFmtId="4" fontId="0" fillId="0" borderId="265" xfId="215" applyNumberFormat="1" applyFont="1" applyBorder="1" applyAlignment="1">
      <alignment horizontal="center" vertical="center"/>
    </xf>
    <xf numFmtId="4" fontId="0" fillId="0" borderId="266" xfId="215" applyNumberFormat="1" applyFont="1" applyBorder="1" applyAlignment="1">
      <alignment horizontal="center" vertical="center"/>
    </xf>
    <xf numFmtId="4" fontId="26" fillId="0" borderId="268" xfId="207" applyNumberFormat="1" applyBorder="1" applyAlignment="1">
      <alignment horizontal="center" vertical="center" wrapText="1"/>
    </xf>
    <xf numFmtId="4" fontId="0" fillId="0" borderId="164" xfId="215" applyNumberFormat="1" applyFont="1" applyBorder="1" applyAlignment="1">
      <alignment horizontal="center" vertical="center" wrapText="1"/>
    </xf>
    <xf numFmtId="4" fontId="0" fillId="0" borderId="165" xfId="215" applyNumberFormat="1" applyFont="1" applyBorder="1" applyAlignment="1">
      <alignment horizontal="center" vertical="center" wrapText="1"/>
    </xf>
    <xf numFmtId="4" fontId="26" fillId="0" borderId="267" xfId="207" applyNumberFormat="1" applyBorder="1" applyAlignment="1">
      <alignment horizontal="center" vertical="center" wrapText="1"/>
    </xf>
    <xf numFmtId="4" fontId="26" fillId="0" borderId="265" xfId="207" applyNumberFormat="1" applyBorder="1" applyAlignment="1">
      <alignment horizontal="center" vertical="center" wrapText="1"/>
    </xf>
    <xf numFmtId="4" fontId="26" fillId="0" borderId="266" xfId="207" applyNumberFormat="1" applyBorder="1" applyAlignment="1">
      <alignment horizontal="center" vertical="center" wrapText="1"/>
    </xf>
    <xf numFmtId="3" fontId="26" fillId="0" borderId="10" xfId="207" applyNumberFormat="1" applyBorder="1" applyAlignment="1">
      <alignment horizontal="center" vertical="center" wrapText="1"/>
    </xf>
    <xf numFmtId="3" fontId="26" fillId="0" borderId="152" xfId="207" applyNumberFormat="1" applyBorder="1" applyAlignment="1">
      <alignment horizontal="center" vertical="center" wrapText="1"/>
    </xf>
    <xf numFmtId="14" fontId="26" fillId="0" borderId="333" xfId="207" applyNumberFormat="1" applyBorder="1" applyAlignment="1">
      <alignment horizontal="center" vertical="center" wrapText="1"/>
    </xf>
    <xf numFmtId="14" fontId="26" fillId="0" borderId="334" xfId="207" applyNumberFormat="1" applyBorder="1" applyAlignment="1">
      <alignment horizontal="center" vertical="center" wrapText="1"/>
    </xf>
    <xf numFmtId="4" fontId="26" fillId="0" borderId="20" xfId="207" applyNumberFormat="1" applyBorder="1" applyAlignment="1">
      <alignment horizontal="center" vertical="center" wrapText="1"/>
    </xf>
    <xf numFmtId="4" fontId="26" fillId="0" borderId="29" xfId="207" applyNumberFormat="1" applyBorder="1" applyAlignment="1">
      <alignment horizontal="center" vertical="center" wrapText="1"/>
    </xf>
    <xf numFmtId="49" fontId="26" fillId="0" borderId="10" xfId="207" applyNumberFormat="1" applyBorder="1" applyAlignment="1">
      <alignment horizontal="center" vertical="center" wrapText="1"/>
    </xf>
    <xf numFmtId="49" fontId="26" fillId="0" borderId="152" xfId="207" applyNumberFormat="1" applyBorder="1" applyAlignment="1">
      <alignment horizontal="center" vertical="center" wrapText="1"/>
    </xf>
    <xf numFmtId="4" fontId="26" fillId="0" borderId="24" xfId="207" applyNumberFormat="1" applyBorder="1" applyAlignment="1">
      <alignment horizontal="center" vertical="center" wrapText="1"/>
    </xf>
    <xf numFmtId="4" fontId="26" fillId="0" borderId="27" xfId="207" applyNumberFormat="1" applyBorder="1" applyAlignment="1">
      <alignment horizontal="center" vertical="center" wrapText="1"/>
    </xf>
    <xf numFmtId="4" fontId="64" fillId="0" borderId="121" xfId="102" applyNumberFormat="1" applyFont="1" applyBorder="1" applyAlignment="1">
      <alignment horizontal="left" vertical="center" wrapText="1"/>
    </xf>
    <xf numFmtId="4" fontId="64" fillId="0" borderId="122" xfId="102" applyNumberFormat="1" applyFont="1" applyBorder="1" applyAlignment="1">
      <alignment horizontal="left" vertical="center" wrapText="1"/>
    </xf>
    <xf numFmtId="4" fontId="106" fillId="67" borderId="0" xfId="102" applyNumberFormat="1" applyFont="1" applyFill="1" applyAlignment="1">
      <alignment horizontal="left" vertical="center" wrapText="1"/>
    </xf>
    <xf numFmtId="4" fontId="106" fillId="67" borderId="0" xfId="102" applyNumberFormat="1" applyFont="1" applyFill="1" applyAlignment="1">
      <alignment horizontal="left" vertical="center"/>
    </xf>
    <xf numFmtId="0" fontId="50" fillId="9" borderId="116" xfId="103" applyFont="1" applyFill="1" applyBorder="1" applyAlignment="1">
      <alignment horizontal="left" vertical="center"/>
    </xf>
    <xf numFmtId="0" fontId="50" fillId="9" borderId="117" xfId="103" applyFont="1" applyFill="1" applyBorder="1" applyAlignment="1">
      <alignment horizontal="left" vertical="center"/>
    </xf>
  </cellXfs>
  <cellStyles count="237">
    <cellStyle name="?鹎%U龡&amp;H?_x0008__x001c__x001c_?_x0007__x0001__x0001_" xfId="102" xr:uid="{00000000-0005-0000-0000-000000000000}"/>
    <cellStyle name="?鹎%U龡&amp;H?_x0008__x001c__x001c_?_x0007__x0001__x0001_ 12" xfId="220" xr:uid="{9AEAB112-52D2-4FA7-8FF3-DABA68B2D570}"/>
    <cellStyle name="?鹎%U龡&amp;H?_x0008__x001c__x001c_?_x0007__x0001__x0001_ 2" xfId="104" xr:uid="{00000000-0005-0000-0000-000001000000}"/>
    <cellStyle name="20% - Accent1" xfId="129" builtinId="30" customBuiltin="1"/>
    <cellStyle name="20% - Accent1 2" xfId="160" xr:uid="{26C05A4B-6AEF-4FFA-B666-A03F23CB775E}"/>
    <cellStyle name="20% - Accent1 3" xfId="185" xr:uid="{3F94F705-5053-4C8D-AE04-098D339698A7}"/>
    <cellStyle name="20% - Accent2" xfId="133" builtinId="34" customBuiltin="1"/>
    <cellStyle name="20% - Accent2 2" xfId="163" xr:uid="{A06D72CE-4D72-4E13-A5CC-AD3996096FE3}"/>
    <cellStyle name="20% - Accent2 3" xfId="188" xr:uid="{E16C71A1-00A0-405C-8AA2-77A63AED2684}"/>
    <cellStyle name="20% - Accent3" xfId="137" builtinId="38" customBuiltin="1"/>
    <cellStyle name="20% - Accent3 2" xfId="166" xr:uid="{281CB7D1-2CFB-4E30-BF19-AA09AFED79B9}"/>
    <cellStyle name="20% - Accent3 3" xfId="191" xr:uid="{36B90220-8E93-4542-B3B8-0AFE1A67F077}"/>
    <cellStyle name="20% - Accent4" xfId="141" builtinId="42" customBuiltin="1"/>
    <cellStyle name="20% - Accent4 2" xfId="169" xr:uid="{004A66EA-0636-47AC-82C5-0682FE6E3546}"/>
    <cellStyle name="20% - Accent4 3" xfId="194" xr:uid="{1673B825-7706-42AA-B2F6-4496629BA572}"/>
    <cellStyle name="20% - Accent5" xfId="145" builtinId="46" customBuiltin="1"/>
    <cellStyle name="20% - Accent5 2" xfId="172" xr:uid="{F58201FD-EEEF-419B-B0DC-596E4DDEF111}"/>
    <cellStyle name="20% - Accent5 3" xfId="197" xr:uid="{76CFB14F-81A6-499D-ADEC-3A0177DFF6A2}"/>
    <cellStyle name="20% - Accent6" xfId="149" builtinId="50" customBuiltin="1"/>
    <cellStyle name="20% - Accent6 2" xfId="175" xr:uid="{4EEEDF07-57F9-410F-A4AA-B3A8D8C81E65}"/>
    <cellStyle name="20% - Accent6 3" xfId="200" xr:uid="{5A3DC0FD-F7CC-47AF-9505-0D6E8F73471A}"/>
    <cellStyle name="40% - Accent1" xfId="130" builtinId="31" customBuiltin="1"/>
    <cellStyle name="40% - Accent1 2" xfId="161" xr:uid="{B9E8A570-4AC4-4684-8CD2-E93FC9E741BA}"/>
    <cellStyle name="40% - Accent1 3" xfId="186" xr:uid="{79111BAA-D693-4D56-A935-42EE20DFAF46}"/>
    <cellStyle name="40% - Accent2" xfId="134" builtinId="35" customBuiltin="1"/>
    <cellStyle name="40% - Accent2 2" xfId="164" xr:uid="{52460BB6-AF4D-4DCD-A1DF-EBE82F7EF773}"/>
    <cellStyle name="40% - Accent2 3" xfId="189" xr:uid="{F29E2E6A-820F-4CED-BF8C-E415B4FE5C2C}"/>
    <cellStyle name="40% - Accent3" xfId="138" builtinId="39" customBuiltin="1"/>
    <cellStyle name="40% - Accent3 2" xfId="167" xr:uid="{BF1F0FD4-13F7-4A6E-A286-45F220D09DC5}"/>
    <cellStyle name="40% - Accent3 3" xfId="192" xr:uid="{9EBDBF96-0B5B-4807-B0A9-E3C3026E068D}"/>
    <cellStyle name="40% - Accent4" xfId="142" builtinId="43" customBuiltin="1"/>
    <cellStyle name="40% - Accent4 2" xfId="170" xr:uid="{9C428506-B82D-4D5A-A162-694F890C25ED}"/>
    <cellStyle name="40% - Accent4 3" xfId="195" xr:uid="{96E49615-B04E-4C09-9FA6-CA7F4A6C3702}"/>
    <cellStyle name="40% - Accent5" xfId="146" builtinId="47" customBuiltin="1"/>
    <cellStyle name="40% - Accent5 2" xfId="173" xr:uid="{A172D292-B015-489D-97AC-244594E3DA9F}"/>
    <cellStyle name="40% - Accent5 3" xfId="198" xr:uid="{06EB2C57-B670-4CE0-8409-4387FB6E4789}"/>
    <cellStyle name="40% - Accent6" xfId="150" builtinId="51" customBuiltin="1"/>
    <cellStyle name="40% - Accent6 2" xfId="176" xr:uid="{F6E27117-4AE2-4A15-8B17-0A06E4BDB929}"/>
    <cellStyle name="40% - Accent6 3" xfId="201" xr:uid="{DE577ABD-1910-44DA-B107-CF44E1EDC5F9}"/>
    <cellStyle name="60% - Accent1" xfId="131" builtinId="32" customBuiltin="1"/>
    <cellStyle name="60% - Accent1 2" xfId="162" xr:uid="{74A05035-244F-4D39-B435-049A2432DB4F}"/>
    <cellStyle name="60% - Accent1 3" xfId="187" xr:uid="{F469697F-6ED5-4050-9448-2C811AAB4B22}"/>
    <cellStyle name="60% - Accent2" xfId="135" builtinId="36" customBuiltin="1"/>
    <cellStyle name="60% - Accent2 2" xfId="165" xr:uid="{00C75DB0-4D1A-43C8-A94D-C95D484FA6BF}"/>
    <cellStyle name="60% - Accent2 3" xfId="190" xr:uid="{D8CD6D79-DB5C-462E-916D-A9188F3F2629}"/>
    <cellStyle name="60% - Accent3" xfId="139" builtinId="40" customBuiltin="1"/>
    <cellStyle name="60% - Accent3 2" xfId="168" xr:uid="{D6AA1D6E-FA62-4D6B-9B38-D0D716069B45}"/>
    <cellStyle name="60% - Accent3 3" xfId="193" xr:uid="{77E840B0-0C4C-4BD8-9279-32C7FFEAB190}"/>
    <cellStyle name="60% - Accent4" xfId="143" builtinId="44" customBuiltin="1"/>
    <cellStyle name="60% - Accent4 2" xfId="171" xr:uid="{6F4FB773-330E-4323-A6EC-8FBAB75D3610}"/>
    <cellStyle name="60% - Accent4 3" xfId="196" xr:uid="{26E21BD8-AED1-476C-88C2-89FA829EE556}"/>
    <cellStyle name="60% - Accent5" xfId="147" builtinId="48" customBuiltin="1"/>
    <cellStyle name="60% - Accent5 2" xfId="174" xr:uid="{4AFE56C0-0E40-42FF-81D7-5D3EE2453822}"/>
    <cellStyle name="60% - Accent5 3" xfId="199" xr:uid="{D08E5364-2874-42D5-8212-FDD04E9C1CD3}"/>
    <cellStyle name="60% - Accent6" xfId="151" builtinId="52" customBuiltin="1"/>
    <cellStyle name="60% - Accent6 2" xfId="177" xr:uid="{D92DE6A6-494B-4684-BC68-A304738DD347}"/>
    <cellStyle name="60% - Accent6 3" xfId="202" xr:uid="{78A8AA1C-882B-4E1B-B243-31004FCEBE32}"/>
    <cellStyle name="Accent1" xfId="128" builtinId="29" customBuiltin="1"/>
    <cellStyle name="Accent2" xfId="132" builtinId="33" customBuiltin="1"/>
    <cellStyle name="Accent3" xfId="136" builtinId="37" customBuiltin="1"/>
    <cellStyle name="Accent4" xfId="140" builtinId="41" customBuiltin="1"/>
    <cellStyle name="Accent5" xfId="144" builtinId="45" customBuiltin="1"/>
    <cellStyle name="Accent6" xfId="148" builtinId="49" customBuiltin="1"/>
    <cellStyle name="ASR" xfId="1" xr:uid="{00000000-0005-0000-0000-000002000000}"/>
    <cellStyle name="ASR 2" xfId="108" xr:uid="{D91987C3-193C-48C0-B267-5FC785319328}"/>
    <cellStyle name="Bad" xfId="118" builtinId="27" customBuiltin="1"/>
    <cellStyle name="Calculation" xfId="122" builtinId="22" customBuiltin="1"/>
    <cellStyle name="Check Cell" xfId="124" builtinId="23" customBuiltin="1"/>
    <cellStyle name="Comma 2" xfId="96" xr:uid="{00000000-0005-0000-0000-000004000000}"/>
    <cellStyle name="Comma 3" xfId="98" xr:uid="{00000000-0005-0000-0000-000005000000}"/>
    <cellStyle name="Comma 3 2" xfId="221" xr:uid="{8ED990B3-C04B-4985-81C5-04A9279D36D3}"/>
    <cellStyle name="Comma 3 3" xfId="233" xr:uid="{0457E26E-EFDE-4209-88CD-1CEF5BB1FC2F}"/>
    <cellStyle name="Currency" xfId="107" builtinId="4"/>
    <cellStyle name="Currency 2" xfId="100" xr:uid="{00000000-0005-0000-0000-000007000000}"/>
    <cellStyle name="Currency 3" xfId="205" xr:uid="{23339D0A-F10F-4537-8CCA-B47EFB39A6F6}"/>
    <cellStyle name="Euro" xfId="2" xr:uid="{00000000-0005-0000-0000-000008000000}"/>
    <cellStyle name="Euro 2" xfId="31" xr:uid="{00000000-0005-0000-0000-000009000000}"/>
    <cellStyle name="Euro 2 2" xfId="78" xr:uid="{00000000-0005-0000-0000-00000A000000}"/>
    <cellStyle name="Euro 2 3" xfId="110" xr:uid="{263EB873-2085-4670-9128-AB43855B0E43}"/>
    <cellStyle name="Euro 2 4" xfId="153" xr:uid="{3A1409D7-8E5D-4795-84E5-54EC5A8E47B5}"/>
    <cellStyle name="Euro 2 5" xfId="158" xr:uid="{8EDD287E-A130-41D8-8592-085FB7754245}"/>
    <cellStyle name="Euro 2 6" xfId="183" xr:uid="{116101E3-75B1-4BD0-9F76-FF0342CA2F70}"/>
    <cellStyle name="Euro 3" xfId="51" xr:uid="{00000000-0005-0000-0000-00000B000000}"/>
    <cellStyle name="Euro 4" xfId="109" xr:uid="{C3DFFFFA-AE9F-465C-8781-BFBC72AF9DC0}"/>
    <cellStyle name="Euro 5" xfId="152" xr:uid="{4474DD4E-26ED-4B23-9224-9F3E0434B585}"/>
    <cellStyle name="Euro 6" xfId="157" xr:uid="{AE2843A9-634F-4B76-921F-57CDCE6C862C}"/>
    <cellStyle name="Euro 7" xfId="182" xr:uid="{A3B7B93F-D062-44DD-866D-9CDFE560FF5B}"/>
    <cellStyle name="Explanatory Text" xfId="126"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80" builtinId="8"/>
    <cellStyle name="Input" xfId="120" builtinId="20" customBuiltin="1"/>
    <cellStyle name="Linked Cell" xfId="123" builtinId="24" customBuiltin="1"/>
    <cellStyle name="Milliers 10 6" xfId="101" xr:uid="{00000000-0005-0000-0000-00000C000000}"/>
    <cellStyle name="Milliers 14" xfId="215" xr:uid="{F8B6FC01-58B3-44B4-9CE2-A1D50025237D}"/>
    <cellStyle name="Milliers 15" xfId="213" xr:uid="{69248F54-D0C5-4CD4-9658-4E584B3752A7}"/>
    <cellStyle name="Milliers 2" xfId="3" xr:uid="{00000000-0005-0000-0000-00000D000000}"/>
    <cellStyle name="Milliers 2 2" xfId="4" xr:uid="{00000000-0005-0000-0000-00000E000000}"/>
    <cellStyle name="Milliers 2 2 2" xfId="32" xr:uid="{00000000-0005-0000-0000-00000F000000}"/>
    <cellStyle name="Milliers 2 2 2 2" xfId="79" xr:uid="{00000000-0005-0000-0000-000010000000}"/>
    <cellStyle name="Milliers 2 2 3" xfId="53" xr:uid="{00000000-0005-0000-0000-000011000000}"/>
    <cellStyle name="Milliers 2 3" xfId="5" xr:uid="{00000000-0005-0000-0000-000012000000}"/>
    <cellStyle name="Milliers 2 3 2" xfId="33" xr:uid="{00000000-0005-0000-0000-000013000000}"/>
    <cellStyle name="Milliers 2 3 2 2" xfId="80" xr:uid="{00000000-0005-0000-0000-000014000000}"/>
    <cellStyle name="Milliers 2 3 3" xfId="54" xr:uid="{00000000-0005-0000-0000-000015000000}"/>
    <cellStyle name="Milliers 2 4" xfId="6" xr:uid="{00000000-0005-0000-0000-000016000000}"/>
    <cellStyle name="Milliers 2 4 2" xfId="34" xr:uid="{00000000-0005-0000-0000-000017000000}"/>
    <cellStyle name="Milliers 2 4 2 2" xfId="81" xr:uid="{00000000-0005-0000-0000-000018000000}"/>
    <cellStyle name="Milliers 2 4 3" xfId="55" xr:uid="{00000000-0005-0000-0000-000019000000}"/>
    <cellStyle name="Milliers 2 5" xfId="7" xr:uid="{00000000-0005-0000-0000-00001A000000}"/>
    <cellStyle name="Milliers 2 5 2" xfId="8" xr:uid="{00000000-0005-0000-0000-00001B000000}"/>
    <cellStyle name="Milliers 2 5 2 2" xfId="57" xr:uid="{00000000-0005-0000-0000-00001C000000}"/>
    <cellStyle name="Milliers 2 5 3" xfId="56" xr:uid="{00000000-0005-0000-0000-00001D000000}"/>
    <cellStyle name="Milliers 2 6" xfId="9" xr:uid="{00000000-0005-0000-0000-00001E000000}"/>
    <cellStyle name="Milliers 2 6 2" xfId="10" xr:uid="{00000000-0005-0000-0000-00001F000000}"/>
    <cellStyle name="Milliers 2 6 2 2" xfId="36" xr:uid="{00000000-0005-0000-0000-000020000000}"/>
    <cellStyle name="Milliers 2 6 2 2 2" xfId="83" xr:uid="{00000000-0005-0000-0000-000021000000}"/>
    <cellStyle name="Milliers 2 6 2 3" xfId="59" xr:uid="{00000000-0005-0000-0000-000022000000}"/>
    <cellStyle name="Milliers 2 6 3" xfId="11" xr:uid="{00000000-0005-0000-0000-000023000000}"/>
    <cellStyle name="Milliers 2 6 3 2" xfId="37" xr:uid="{00000000-0005-0000-0000-000024000000}"/>
    <cellStyle name="Milliers 2 6 3 2 2" xfId="84" xr:uid="{00000000-0005-0000-0000-000025000000}"/>
    <cellStyle name="Milliers 2 6 3 3" xfId="60" xr:uid="{00000000-0005-0000-0000-000026000000}"/>
    <cellStyle name="Milliers 2 6 4" xfId="12" xr:uid="{00000000-0005-0000-0000-000027000000}"/>
    <cellStyle name="Milliers 2 6 4 2" xfId="38" xr:uid="{00000000-0005-0000-0000-000028000000}"/>
    <cellStyle name="Milliers 2 6 4 2 2" xfId="85" xr:uid="{00000000-0005-0000-0000-000029000000}"/>
    <cellStyle name="Milliers 2 6 4 3" xfId="61" xr:uid="{00000000-0005-0000-0000-00002A000000}"/>
    <cellStyle name="Milliers 2 6 5" xfId="35" xr:uid="{00000000-0005-0000-0000-00002B000000}"/>
    <cellStyle name="Milliers 2 6 5 2" xfId="82" xr:uid="{00000000-0005-0000-0000-00002C000000}"/>
    <cellStyle name="Milliers 2 6 6" xfId="58" xr:uid="{00000000-0005-0000-0000-00002D000000}"/>
    <cellStyle name="Milliers 2 7" xfId="52" xr:uid="{00000000-0005-0000-0000-00002E000000}"/>
    <cellStyle name="Milliers 3" xfId="13" xr:uid="{00000000-0005-0000-0000-00002F000000}"/>
    <cellStyle name="Milliers 3 2" xfId="39" xr:uid="{00000000-0005-0000-0000-000030000000}"/>
    <cellStyle name="Milliers 3 2 2" xfId="86" xr:uid="{00000000-0005-0000-0000-000031000000}"/>
    <cellStyle name="Milliers 3 3" xfId="62" xr:uid="{00000000-0005-0000-0000-000032000000}"/>
    <cellStyle name="Milliers 4" xfId="14" xr:uid="{00000000-0005-0000-0000-000033000000}"/>
    <cellStyle name="Milliers 4 2" xfId="63" xr:uid="{00000000-0005-0000-0000-000034000000}"/>
    <cellStyle name="Milliers_FCT RCI GERMANY LEASE - Monthly Report Payment Date 19 06 2012" xfId="212" xr:uid="{3D80150E-914A-49D3-AF32-FC17B483B777}"/>
    <cellStyle name="Neutral" xfId="119" builtinId="28" customBuiltin="1"/>
    <cellStyle name="Normal" xfId="0" builtinId="0"/>
    <cellStyle name="Normal 10" xfId="217" xr:uid="{F6F1748D-2FBE-4863-9156-E8D4B244C04D}"/>
    <cellStyle name="Normal 10 2" xfId="214" xr:uid="{EFA5E1FA-BD89-4E81-82F1-6928502E1C58}"/>
    <cellStyle name="Normal 132" xfId="228" xr:uid="{43A726B9-EF43-4B02-89F5-4EEDF6B5E87A}"/>
    <cellStyle name="Normal 2" xfId="49" xr:uid="{00000000-0005-0000-0000-000036000000}"/>
    <cellStyle name="Normal 2 11" xfId="99" xr:uid="{00000000-0005-0000-0000-000037000000}"/>
    <cellStyle name="Normal 2 11 2" xfId="223" xr:uid="{3BEEC2D6-BED4-434C-9E3D-4358DBCD389E}"/>
    <cellStyle name="Normal 2 11 2 2" xfId="232" xr:uid="{2E9A0C7D-0EC1-4CAD-BEFE-CA154E572C52}"/>
    <cellStyle name="Normal 2 11 3" xfId="224" xr:uid="{72637640-6E68-4E35-8372-D99C9ECF313E}"/>
    <cellStyle name="Normal 2 2" xfId="50" xr:uid="{00000000-0005-0000-0000-000038000000}"/>
    <cellStyle name="Normal 2 2 2" xfId="103" xr:uid="{00000000-0005-0000-0000-000039000000}"/>
    <cellStyle name="Normal 2 3" xfId="95" xr:uid="{00000000-0005-0000-0000-00003A000000}"/>
    <cellStyle name="Normal 2 4" xfId="111" xr:uid="{B23E9F75-93DB-43B5-8400-C9A9AF07DDA3}"/>
    <cellStyle name="Normal 2 4 2 2" xfId="235" xr:uid="{A4083BE9-A3DD-440A-98F4-94340128BF7D}"/>
    <cellStyle name="Normal 2 5" xfId="154" xr:uid="{AB4F0C07-17DC-4474-AA62-FE480812CCCC}"/>
    <cellStyle name="Normal 2 6" xfId="159" xr:uid="{3C3900B5-1E66-47A5-A3B9-56587CC6F99D}"/>
    <cellStyle name="Normal 2 7" xfId="184" xr:uid="{2E5FFFFD-0C94-4670-BADB-0957FB2BDAFA}"/>
    <cellStyle name="Normal 25 2" xfId="218" xr:uid="{789F201B-8DC4-4ABA-B6F8-0EFD0AED7A93}"/>
    <cellStyle name="Normal 3" xfId="97" xr:uid="{00000000-0005-0000-0000-00003B000000}"/>
    <cellStyle name="Normal 3 2" xfId="155" xr:uid="{6B5E4C80-CAFD-4720-A2CD-22486988A29F}"/>
    <cellStyle name="Normal 3 3" xfId="178" xr:uid="{799F9305-A0C1-4428-9507-18480E2454B9}"/>
    <cellStyle name="Normal 3 4" xfId="203" xr:uid="{40D6C31B-DEC7-42F0-B9B0-6DF21BE33415}"/>
    <cellStyle name="Normal 3 5" xfId="208" xr:uid="{242EEF8C-8F16-4D44-8CEB-28BEA3D9D9EE}"/>
    <cellStyle name="Normal 3 5 2 2" xfId="227" xr:uid="{8B482302-BD47-41C8-8033-64108F438CAC}"/>
    <cellStyle name="Normal 3 6" xfId="210" xr:uid="{449FB70F-B011-4911-8978-98DD54F679D4}"/>
    <cellStyle name="Normal 3 7" xfId="229" xr:uid="{2029E042-5EE2-444B-996C-D8B80E760501}"/>
    <cellStyle name="Normal 30" xfId="226" xr:uid="{15E890A7-27EB-4FAF-9817-D97C173C8CB8}"/>
    <cellStyle name="Normal 4" xfId="181" xr:uid="{6F0CBD26-B949-43D6-A61E-DF2853FA3164}"/>
    <cellStyle name="Normal 5" xfId="206" xr:uid="{8179B2F1-BAA1-4B28-9C0A-93BE5E1EDDC3}"/>
    <cellStyle name="Normal 5 2" xfId="209" xr:uid="{ECD6502E-EECA-4100-B32C-F55DFB540C31}"/>
    <cellStyle name="Normal 5 3" xfId="219" xr:uid="{A0927660-2DD2-49AD-BB88-35EC5DB979BF}"/>
    <cellStyle name="Normal 5 4" xfId="222" xr:uid="{AE5CF85F-2819-4564-AB02-511FB1668CE6}"/>
    <cellStyle name="Normal 5 4 2" xfId="230" xr:uid="{BEA55A94-BABF-4792-B55B-04BE1F7E75AE}"/>
    <cellStyle name="Normal 5 5" xfId="225" xr:uid="{AFD131B0-FF3D-4FA0-B8BE-7B53C9626C15}"/>
    <cellStyle name="Normal 5 5 2" xfId="231" xr:uid="{D5053191-6D03-42D9-A955-15D7277849CE}"/>
    <cellStyle name="Normal 6" xfId="216" xr:uid="{3FE45E9B-24E0-424A-A04B-EBDD9151CF3B}"/>
    <cellStyle name="Normal 7" xfId="234" xr:uid="{FAC0D42A-0F83-46F2-A3C1-01D353D8355C}"/>
    <cellStyle name="Normal 8" xfId="15" xr:uid="{00000000-0005-0000-0000-00003C000000}"/>
    <cellStyle name="Normal 8 2" xfId="40" xr:uid="{00000000-0005-0000-0000-00003D000000}"/>
    <cellStyle name="Normal 9" xfId="236" xr:uid="{B66824AE-FE9E-4271-AC05-30F9336E8D54}"/>
    <cellStyle name="Normal 93 2" xfId="207" xr:uid="{C41977AC-3DE1-4579-BD06-76BA32A81E86}"/>
    <cellStyle name="Normal_FCT RCI GERMANY LEASE - Monthly Report Payment Date 19 06 2012" xfId="211" xr:uid="{FE5B02C0-2D9F-4EFB-99BE-44D4809FCDD3}"/>
    <cellStyle name="Note 2" xfId="156" xr:uid="{8C7ADD44-4A5C-42D6-91C2-464AAF0F9145}"/>
    <cellStyle name="Note 2 2" xfId="179" xr:uid="{ECE948CC-A2AC-488C-8D6B-33789C083F33}"/>
    <cellStyle name="Note 2 3" xfId="204" xr:uid="{54512D92-4CBE-4A0C-9AC4-4DA2D6AEF3E5}"/>
    <cellStyle name="Output" xfId="121" builtinId="21" customBuiltin="1"/>
    <cellStyle name="Percent" xfId="16" builtinId="5"/>
    <cellStyle name="Percent 2" xfId="105" xr:uid="{00000000-0005-0000-0000-00003F000000}"/>
    <cellStyle name="Pourcentage 10" xfId="106" xr:uid="{00000000-0005-0000-0000-000040000000}"/>
    <cellStyle name="Pourcentage 2" xfId="17" xr:uid="{00000000-0005-0000-0000-000041000000}"/>
    <cellStyle name="Pourcentage 2 2" xfId="18" xr:uid="{00000000-0005-0000-0000-000042000000}"/>
    <cellStyle name="Pourcentage 2 2 2" xfId="41" xr:uid="{00000000-0005-0000-0000-000043000000}"/>
    <cellStyle name="Pourcentage 2 2 2 2" xfId="87" xr:uid="{00000000-0005-0000-0000-000044000000}"/>
    <cellStyle name="Pourcentage 2 2 3" xfId="65" xr:uid="{00000000-0005-0000-0000-000045000000}"/>
    <cellStyle name="Pourcentage 2 3" xfId="19" xr:uid="{00000000-0005-0000-0000-000046000000}"/>
    <cellStyle name="Pourcentage 2 3 2" xfId="66" xr:uid="{00000000-0005-0000-0000-000047000000}"/>
    <cellStyle name="Pourcentage 2 4" xfId="64" xr:uid="{00000000-0005-0000-0000-000048000000}"/>
    <cellStyle name="Pourcentage 3" xfId="20" xr:uid="{00000000-0005-0000-0000-000049000000}"/>
    <cellStyle name="Pourcentage 3 2" xfId="21" xr:uid="{00000000-0005-0000-0000-00004A000000}"/>
    <cellStyle name="Pourcentage 3 2 2" xfId="42" xr:uid="{00000000-0005-0000-0000-00004B000000}"/>
    <cellStyle name="Pourcentage 3 2 2 2" xfId="88" xr:uid="{00000000-0005-0000-0000-00004C000000}"/>
    <cellStyle name="Pourcentage 3 2 3" xfId="68" xr:uid="{00000000-0005-0000-0000-00004D000000}"/>
    <cellStyle name="Pourcentage 3 3" xfId="22" xr:uid="{00000000-0005-0000-0000-00004E000000}"/>
    <cellStyle name="Pourcentage 3 3 2" xfId="43" xr:uid="{00000000-0005-0000-0000-00004F000000}"/>
    <cellStyle name="Pourcentage 3 3 2 2" xfId="89" xr:uid="{00000000-0005-0000-0000-000050000000}"/>
    <cellStyle name="Pourcentage 3 3 3" xfId="69" xr:uid="{00000000-0005-0000-0000-000051000000}"/>
    <cellStyle name="Pourcentage 3 4" xfId="23" xr:uid="{00000000-0005-0000-0000-000052000000}"/>
    <cellStyle name="Pourcentage 3 4 2" xfId="44" xr:uid="{00000000-0005-0000-0000-000053000000}"/>
    <cellStyle name="Pourcentage 3 4 2 2" xfId="90" xr:uid="{00000000-0005-0000-0000-000054000000}"/>
    <cellStyle name="Pourcentage 3 4 3" xfId="70" xr:uid="{00000000-0005-0000-0000-000055000000}"/>
    <cellStyle name="Pourcentage 3 5" xfId="24" xr:uid="{00000000-0005-0000-0000-000056000000}"/>
    <cellStyle name="Pourcentage 3 5 2" xfId="25" xr:uid="{00000000-0005-0000-0000-000057000000}"/>
    <cellStyle name="Pourcentage 3 5 2 2" xfId="72" xr:uid="{00000000-0005-0000-0000-000058000000}"/>
    <cellStyle name="Pourcentage 3 5 3" xfId="71" xr:uid="{00000000-0005-0000-0000-000059000000}"/>
    <cellStyle name="Pourcentage 3 6" xfId="67" xr:uid="{00000000-0005-0000-0000-00005A000000}"/>
    <cellStyle name="Pourcentage 4" xfId="26" xr:uid="{00000000-0005-0000-0000-00005B000000}"/>
    <cellStyle name="Pourcentage 4 2" xfId="73" xr:uid="{00000000-0005-0000-0000-00005C000000}"/>
    <cellStyle name="Pourcentage 5" xfId="27" xr:uid="{00000000-0005-0000-0000-00005D000000}"/>
    <cellStyle name="Pourcentage 5 2" xfId="28" xr:uid="{00000000-0005-0000-0000-00005E000000}"/>
    <cellStyle name="Pourcentage 5 2 2" xfId="46" xr:uid="{00000000-0005-0000-0000-00005F000000}"/>
    <cellStyle name="Pourcentage 5 2 2 2" xfId="92" xr:uid="{00000000-0005-0000-0000-000060000000}"/>
    <cellStyle name="Pourcentage 5 2 3" xfId="75" xr:uid="{00000000-0005-0000-0000-000061000000}"/>
    <cellStyle name="Pourcentage 5 3" xfId="29" xr:uid="{00000000-0005-0000-0000-000062000000}"/>
    <cellStyle name="Pourcentage 5 3 2" xfId="47" xr:uid="{00000000-0005-0000-0000-000063000000}"/>
    <cellStyle name="Pourcentage 5 3 2 2" xfId="93" xr:uid="{00000000-0005-0000-0000-000064000000}"/>
    <cellStyle name="Pourcentage 5 3 3" xfId="76" xr:uid="{00000000-0005-0000-0000-000065000000}"/>
    <cellStyle name="Pourcentage 5 4" xfId="30" xr:uid="{00000000-0005-0000-0000-000066000000}"/>
    <cellStyle name="Pourcentage 5 4 2" xfId="48" xr:uid="{00000000-0005-0000-0000-000067000000}"/>
    <cellStyle name="Pourcentage 5 4 2 2" xfId="94" xr:uid="{00000000-0005-0000-0000-000068000000}"/>
    <cellStyle name="Pourcentage 5 4 3" xfId="77" xr:uid="{00000000-0005-0000-0000-000069000000}"/>
    <cellStyle name="Pourcentage 5 5" xfId="45" xr:uid="{00000000-0005-0000-0000-00006A000000}"/>
    <cellStyle name="Pourcentage 5 5 2" xfId="91" xr:uid="{00000000-0005-0000-0000-00006B000000}"/>
    <cellStyle name="Pourcentage 5 6" xfId="74" xr:uid="{00000000-0005-0000-0000-00006C000000}"/>
    <cellStyle name="Title" xfId="112" builtinId="15" customBuiltin="1"/>
    <cellStyle name="Total" xfId="127" builtinId="25" customBuiltin="1"/>
    <cellStyle name="Warning Text" xfId="125" builtinId="11" customBuiltin="1"/>
  </cellStyles>
  <dxfs count="317">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Times New Roman"/>
        <family val="1"/>
        <scheme val="none"/>
      </font>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2D597"/>
      <color rgb="FFB3CB7F"/>
      <color rgb="FFC0C0C0"/>
      <color rgb="FFE7F0FD"/>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246075</xdr:colOff>
      <xdr:row>8</xdr:row>
      <xdr:rowOff>3176</xdr:rowOff>
    </xdr:from>
    <xdr:ext cx="6032224" cy="685800"/>
    <xdr:sp macro="" textlink="">
      <xdr:nvSpPr>
        <xdr:cNvPr id="2" name="Rectangle 1">
          <a:extLst>
            <a:ext uri="{FF2B5EF4-FFF2-40B4-BE49-F238E27FC236}">
              <a16:creationId xmlns:a16="http://schemas.microsoft.com/office/drawing/2014/main" id="{00000000-0008-0000-0000-000002000000}"/>
            </a:ext>
          </a:extLst>
        </xdr:cNvPr>
        <xdr:cNvSpPr/>
      </xdr:nvSpPr>
      <xdr:spPr>
        <a:xfrm>
          <a:off x="923408" y="1664759"/>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121089</xdr:rowOff>
    </xdr:to>
    <xdr:pic>
      <xdr:nvPicPr>
        <xdr:cNvPr id="4" name="Picture 3">
          <a:extLst>
            <a:ext uri="{FF2B5EF4-FFF2-40B4-BE49-F238E27FC236}">
              <a16:creationId xmlns:a16="http://schemas.microsoft.com/office/drawing/2014/main" id="{14FDA8B6-271F-4BE4-B900-2118CC1124B0}"/>
            </a:ext>
          </a:extLst>
        </xdr:cNvPr>
        <xdr:cNvPicPr>
          <a:picLocks noChangeAspect="1"/>
        </xdr:cNvPicPr>
      </xdr:nvPicPr>
      <xdr:blipFill>
        <a:blip xmlns:r="http://schemas.openxmlformats.org/officeDocument/2006/relationships" r:embed="rId1"/>
        <a:stretch>
          <a:fillRect/>
        </a:stretch>
      </xdr:blipFill>
      <xdr:spPr>
        <a:xfrm>
          <a:off x="148167" y="190500"/>
          <a:ext cx="1354666" cy="508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4" name="Image 6">
          <a:extLst>
            <a:ext uri="{FF2B5EF4-FFF2-40B4-BE49-F238E27FC236}">
              <a16:creationId xmlns:a16="http://schemas.microsoft.com/office/drawing/2014/main" id="{0271C21A-ABA6-431B-A7E4-D7356CCE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5" name="Picture 4">
          <a:extLst>
            <a:ext uri="{FF2B5EF4-FFF2-40B4-BE49-F238E27FC236}">
              <a16:creationId xmlns:a16="http://schemas.microsoft.com/office/drawing/2014/main" id="{AF70D99F-D209-4E8D-900D-960E16D97773}"/>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104775</xdr:colOff>
      <xdr:row>1</xdr:row>
      <xdr:rowOff>76200</xdr:rowOff>
    </xdr:from>
    <xdr:to>
      <xdr:col>5</xdr:col>
      <xdr:colOff>103218</xdr:colOff>
      <xdr:row>4</xdr:row>
      <xdr:rowOff>174544</xdr:rowOff>
    </xdr:to>
    <xdr:pic>
      <xdr:nvPicPr>
        <xdr:cNvPr id="2" name="Picture 1" descr="A black text on a white background&#10;&#10;Description automatically generated">
          <a:extLst>
            <a:ext uri="{FF2B5EF4-FFF2-40B4-BE49-F238E27FC236}">
              <a16:creationId xmlns:a16="http://schemas.microsoft.com/office/drawing/2014/main" id="{71FA83DA-C0D1-4964-AC01-F166258E6256}"/>
            </a:ext>
          </a:extLst>
        </xdr:cNvPr>
        <xdr:cNvPicPr>
          <a:picLocks noChangeAspect="1"/>
        </xdr:cNvPicPr>
      </xdr:nvPicPr>
      <xdr:blipFill>
        <a:blip xmlns:r="http://schemas.openxmlformats.org/officeDocument/2006/relationships" r:embed="rId3"/>
        <a:stretch>
          <a:fillRect/>
        </a:stretch>
      </xdr:blipFill>
      <xdr:spPr>
        <a:xfrm>
          <a:off x="3905250" y="266700"/>
          <a:ext cx="3941793" cy="6507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115981</xdr:rowOff>
    </xdr:to>
    <xdr:pic>
      <xdr:nvPicPr>
        <xdr:cNvPr id="2" name="Image 6">
          <a:extLst>
            <a:ext uri="{FF2B5EF4-FFF2-40B4-BE49-F238E27FC236}">
              <a16:creationId xmlns:a16="http://schemas.microsoft.com/office/drawing/2014/main" id="{B2E16875-0230-416D-B647-9E78ED1E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208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12A75DA8-8093-43C2-87F1-3CE3F188E125}"/>
            </a:ext>
          </a:extLst>
        </xdr:cNvPr>
        <xdr:cNvPicPr>
          <a:picLocks noChangeAspect="1"/>
        </xdr:cNvPicPr>
      </xdr:nvPicPr>
      <xdr:blipFill>
        <a:blip xmlns:r="http://schemas.openxmlformats.org/officeDocument/2006/relationships" r:embed="rId2"/>
        <a:stretch>
          <a:fillRect/>
        </a:stretch>
      </xdr:blipFill>
      <xdr:spPr>
        <a:xfrm>
          <a:off x="285750" y="390525"/>
          <a:ext cx="1809750" cy="647700"/>
        </a:xfrm>
        <a:prstGeom prst="rect">
          <a:avLst/>
        </a:prstGeom>
      </xdr:spPr>
    </xdr:pic>
    <xdr:clientData/>
  </xdr:twoCellAnchor>
  <xdr:twoCellAnchor editAs="oneCell">
    <xdr:from>
      <xdr:col>3</xdr:col>
      <xdr:colOff>962025</xdr:colOff>
      <xdr:row>1</xdr:row>
      <xdr:rowOff>47625</xdr:rowOff>
    </xdr:from>
    <xdr:to>
      <xdr:col>6</xdr:col>
      <xdr:colOff>522318</xdr:colOff>
      <xdr:row>5</xdr:row>
      <xdr:rowOff>50719</xdr:rowOff>
    </xdr:to>
    <xdr:pic>
      <xdr:nvPicPr>
        <xdr:cNvPr id="4" name="Picture 3" descr="A black text on a white background&#10;&#10;Description automatically generated">
          <a:extLst>
            <a:ext uri="{FF2B5EF4-FFF2-40B4-BE49-F238E27FC236}">
              <a16:creationId xmlns:a16="http://schemas.microsoft.com/office/drawing/2014/main" id="{A19BFC1D-F3D8-4D49-8E04-0B0428E16A12}"/>
            </a:ext>
          </a:extLst>
        </xdr:cNvPr>
        <xdr:cNvPicPr>
          <a:picLocks noChangeAspect="1"/>
        </xdr:cNvPicPr>
      </xdr:nvPicPr>
      <xdr:blipFill>
        <a:blip xmlns:r="http://schemas.openxmlformats.org/officeDocument/2006/relationships" r:embed="rId3"/>
        <a:stretch>
          <a:fillRect/>
        </a:stretch>
      </xdr:blipFill>
      <xdr:spPr>
        <a:xfrm>
          <a:off x="4248150" y="238125"/>
          <a:ext cx="4627593" cy="736519"/>
        </a:xfrm>
        <a:prstGeom prst="rect">
          <a:avLst/>
        </a:prstGeom>
      </xdr:spPr>
    </xdr:pic>
    <xdr:clientData/>
  </xdr:twoCellAnchor>
  <xdr:twoCellAnchor editAs="oneCell">
    <xdr:from>
      <xdr:col>10</xdr:col>
      <xdr:colOff>0</xdr:colOff>
      <xdr:row>2</xdr:row>
      <xdr:rowOff>85725</xdr:rowOff>
    </xdr:from>
    <xdr:to>
      <xdr:col>10</xdr:col>
      <xdr:colOff>1</xdr:colOff>
      <xdr:row>5</xdr:row>
      <xdr:rowOff>58831</xdr:rowOff>
    </xdr:to>
    <xdr:pic>
      <xdr:nvPicPr>
        <xdr:cNvPr id="5" name="Image 6">
          <a:extLst>
            <a:ext uri="{FF2B5EF4-FFF2-40B4-BE49-F238E27FC236}">
              <a16:creationId xmlns:a16="http://schemas.microsoft.com/office/drawing/2014/main" id="{E5D416F4-A7EE-4532-9427-455ACA35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xdr:row>
      <xdr:rowOff>85725</xdr:rowOff>
    </xdr:from>
    <xdr:to>
      <xdr:col>10</xdr:col>
      <xdr:colOff>1</xdr:colOff>
      <xdr:row>4</xdr:row>
      <xdr:rowOff>49306</xdr:rowOff>
    </xdr:to>
    <xdr:pic>
      <xdr:nvPicPr>
        <xdr:cNvPr id="6" name="Image 6">
          <a:extLst>
            <a:ext uri="{FF2B5EF4-FFF2-40B4-BE49-F238E27FC236}">
              <a16:creationId xmlns:a16="http://schemas.microsoft.com/office/drawing/2014/main" id="{0245E662-CF4A-43AF-B303-FD7E93E6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733793</xdr:colOff>
      <xdr:row>6</xdr:row>
      <xdr:rowOff>25587</xdr:rowOff>
    </xdr:to>
    <xdr:pic>
      <xdr:nvPicPr>
        <xdr:cNvPr id="3" name="Picture 2">
          <a:extLst>
            <a:ext uri="{FF2B5EF4-FFF2-40B4-BE49-F238E27FC236}">
              <a16:creationId xmlns:a16="http://schemas.microsoft.com/office/drawing/2014/main" id="{E27783A1-2216-4027-ABB3-983FE07BC137}"/>
            </a:ext>
          </a:extLst>
        </xdr:cNvPr>
        <xdr:cNvPicPr>
          <a:picLocks noChangeAspect="1"/>
        </xdr:cNvPicPr>
      </xdr:nvPicPr>
      <xdr:blipFill>
        <a:blip xmlns:r="http://schemas.openxmlformats.org/officeDocument/2006/relationships" r:embed="rId1"/>
        <a:stretch>
          <a:fillRect/>
        </a:stretch>
      </xdr:blipFill>
      <xdr:spPr>
        <a:xfrm>
          <a:off x="123825" y="85725"/>
          <a:ext cx="2038718" cy="739962"/>
        </a:xfrm>
        <a:prstGeom prst="rect">
          <a:avLst/>
        </a:prstGeom>
      </xdr:spPr>
    </xdr:pic>
    <xdr:clientData/>
  </xdr:twoCellAnchor>
  <xdr:twoCellAnchor editAs="oneCell">
    <xdr:from>
      <xdr:col>7</xdr:col>
      <xdr:colOff>336176</xdr:colOff>
      <xdr:row>1</xdr:row>
      <xdr:rowOff>89647</xdr:rowOff>
    </xdr:from>
    <xdr:to>
      <xdr:col>11</xdr:col>
      <xdr:colOff>27765</xdr:colOff>
      <xdr:row>6</xdr:row>
      <xdr:rowOff>12059</xdr:rowOff>
    </xdr:to>
    <xdr:pic>
      <xdr:nvPicPr>
        <xdr:cNvPr id="2" name="Picture 1" descr="A black text on a white background&#10;&#10;Description automatically generated">
          <a:extLst>
            <a:ext uri="{FF2B5EF4-FFF2-40B4-BE49-F238E27FC236}">
              <a16:creationId xmlns:a16="http://schemas.microsoft.com/office/drawing/2014/main" id="{7D0F8F14-4252-46B8-97FB-E368E5440CE6}"/>
            </a:ext>
          </a:extLst>
        </xdr:cNvPr>
        <xdr:cNvPicPr>
          <a:picLocks noChangeAspect="1"/>
        </xdr:cNvPicPr>
      </xdr:nvPicPr>
      <xdr:blipFill>
        <a:blip xmlns:r="http://schemas.openxmlformats.org/officeDocument/2006/relationships" r:embed="rId2"/>
        <a:stretch>
          <a:fillRect/>
        </a:stretch>
      </xdr:blipFill>
      <xdr:spPr>
        <a:xfrm>
          <a:off x="8001000" y="179294"/>
          <a:ext cx="4005853" cy="6507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36979</xdr:colOff>
      <xdr:row>3</xdr:row>
      <xdr:rowOff>5602</xdr:rowOff>
    </xdr:from>
    <xdr:to>
      <xdr:col>2</xdr:col>
      <xdr:colOff>380788</xdr:colOff>
      <xdr:row>7</xdr:row>
      <xdr:rowOff>95250</xdr:rowOff>
    </xdr:to>
    <xdr:pic>
      <xdr:nvPicPr>
        <xdr:cNvPr id="3" name="Picture 2">
          <a:extLst>
            <a:ext uri="{FF2B5EF4-FFF2-40B4-BE49-F238E27FC236}">
              <a16:creationId xmlns:a16="http://schemas.microsoft.com/office/drawing/2014/main" id="{BD9565AA-1867-4582-A8F3-05F801980F39}"/>
            </a:ext>
          </a:extLst>
        </xdr:cNvPr>
        <xdr:cNvPicPr>
          <a:picLocks noChangeAspect="1"/>
        </xdr:cNvPicPr>
      </xdr:nvPicPr>
      <xdr:blipFill>
        <a:blip xmlns:r="http://schemas.openxmlformats.org/officeDocument/2006/relationships" r:embed="rId1"/>
        <a:stretch>
          <a:fillRect/>
        </a:stretch>
      </xdr:blipFill>
      <xdr:spPr>
        <a:xfrm>
          <a:off x="446554" y="519952"/>
          <a:ext cx="2067834" cy="794498"/>
        </a:xfrm>
        <a:prstGeom prst="rect">
          <a:avLst/>
        </a:prstGeom>
      </xdr:spPr>
    </xdr:pic>
    <xdr:clientData/>
  </xdr:twoCellAnchor>
  <xdr:twoCellAnchor editAs="oneCell">
    <xdr:from>
      <xdr:col>8</xdr:col>
      <xdr:colOff>0</xdr:colOff>
      <xdr:row>3</xdr:row>
      <xdr:rowOff>85725</xdr:rowOff>
    </xdr:from>
    <xdr:to>
      <xdr:col>8</xdr:col>
      <xdr:colOff>1</xdr:colOff>
      <xdr:row>6</xdr:row>
      <xdr:rowOff>115981</xdr:rowOff>
    </xdr:to>
    <xdr:pic>
      <xdr:nvPicPr>
        <xdr:cNvPr id="2" name="Image 6">
          <a:extLst>
            <a:ext uri="{FF2B5EF4-FFF2-40B4-BE49-F238E27FC236}">
              <a16:creationId xmlns:a16="http://schemas.microsoft.com/office/drawing/2014/main" id="{0EDB48CD-47FA-44CE-8E05-214EA7BB6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7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4" name="Image 6">
          <a:extLst>
            <a:ext uri="{FF2B5EF4-FFF2-40B4-BE49-F238E27FC236}">
              <a16:creationId xmlns:a16="http://schemas.microsoft.com/office/drawing/2014/main" id="{AF53D7EA-DE9A-4CCD-A147-D40310365B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5" name="Image 6">
          <a:extLst>
            <a:ext uri="{FF2B5EF4-FFF2-40B4-BE49-F238E27FC236}">
              <a16:creationId xmlns:a16="http://schemas.microsoft.com/office/drawing/2014/main" id="{A158D11C-4F88-4F79-835D-E0AE3E149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6" name="Image 6">
          <a:extLst>
            <a:ext uri="{FF2B5EF4-FFF2-40B4-BE49-F238E27FC236}">
              <a16:creationId xmlns:a16="http://schemas.microsoft.com/office/drawing/2014/main" id="{EF55EF8C-6DE2-465F-9985-890416C48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7" name="Image 6">
          <a:extLst>
            <a:ext uri="{FF2B5EF4-FFF2-40B4-BE49-F238E27FC236}">
              <a16:creationId xmlns:a16="http://schemas.microsoft.com/office/drawing/2014/main" id="{2A58DF28-6F16-4EE4-828D-3217028CD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4</xdr:col>
      <xdr:colOff>93793</xdr:colOff>
      <xdr:row>4</xdr:row>
      <xdr:rowOff>134060</xdr:rowOff>
    </xdr:to>
    <xdr:pic>
      <xdr:nvPicPr>
        <xdr:cNvPr id="3" name="Picture 2">
          <a:extLst>
            <a:ext uri="{FF2B5EF4-FFF2-40B4-BE49-F238E27FC236}">
              <a16:creationId xmlns:a16="http://schemas.microsoft.com/office/drawing/2014/main" id="{F948C47D-0478-41AC-94AF-71D45083FBEE}"/>
            </a:ext>
          </a:extLst>
        </xdr:cNvPr>
        <xdr:cNvPicPr>
          <a:picLocks noChangeAspect="1"/>
        </xdr:cNvPicPr>
      </xdr:nvPicPr>
      <xdr:blipFill>
        <a:blip xmlns:r="http://schemas.openxmlformats.org/officeDocument/2006/relationships" r:embed="rId1"/>
        <a:stretch>
          <a:fillRect/>
        </a:stretch>
      </xdr:blipFill>
      <xdr:spPr>
        <a:xfrm>
          <a:off x="198531" y="134470"/>
          <a:ext cx="1716442" cy="639670"/>
        </a:xfrm>
        <a:prstGeom prst="rect">
          <a:avLst/>
        </a:prstGeom>
      </xdr:spPr>
    </xdr:pic>
    <xdr:clientData/>
  </xdr:twoCellAnchor>
  <xdr:twoCellAnchor editAs="oneCell">
    <xdr:from>
      <xdr:col>4</xdr:col>
      <xdr:colOff>1423147</xdr:colOff>
      <xdr:row>0</xdr:row>
      <xdr:rowOff>89647</xdr:rowOff>
    </xdr:from>
    <xdr:to>
      <xdr:col>5</xdr:col>
      <xdr:colOff>3221548</xdr:colOff>
      <xdr:row>4</xdr:row>
      <xdr:rowOff>116087</xdr:rowOff>
    </xdr:to>
    <xdr:pic>
      <xdr:nvPicPr>
        <xdr:cNvPr id="2" name="Picture 1" descr="A black text on a white background&#10;&#10;Description automatically generated">
          <a:extLst>
            <a:ext uri="{FF2B5EF4-FFF2-40B4-BE49-F238E27FC236}">
              <a16:creationId xmlns:a16="http://schemas.microsoft.com/office/drawing/2014/main" id="{AF726BFD-926C-4B67-9A9E-17EC03E9E6B8}"/>
            </a:ext>
          </a:extLst>
        </xdr:cNvPr>
        <xdr:cNvPicPr>
          <a:picLocks noChangeAspect="1"/>
        </xdr:cNvPicPr>
      </xdr:nvPicPr>
      <xdr:blipFill>
        <a:blip xmlns:r="http://schemas.openxmlformats.org/officeDocument/2006/relationships" r:embed="rId2"/>
        <a:stretch>
          <a:fillRect/>
        </a:stretch>
      </xdr:blipFill>
      <xdr:spPr>
        <a:xfrm>
          <a:off x="3238500" y="89647"/>
          <a:ext cx="4129118" cy="65396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72759</xdr:colOff>
      <xdr:row>2</xdr:row>
      <xdr:rowOff>103188</xdr:rowOff>
    </xdr:from>
    <xdr:to>
      <xdr:col>2</xdr:col>
      <xdr:colOff>2397504</xdr:colOff>
      <xdr:row>7</xdr:row>
      <xdr:rowOff>130969</xdr:rowOff>
    </xdr:to>
    <xdr:pic>
      <xdr:nvPicPr>
        <xdr:cNvPr id="2" name="Picture 1">
          <a:extLst>
            <a:ext uri="{FF2B5EF4-FFF2-40B4-BE49-F238E27FC236}">
              <a16:creationId xmlns:a16="http://schemas.microsoft.com/office/drawing/2014/main" id="{7395D402-44DF-4537-BA68-12ADC580B3A9}"/>
            </a:ext>
          </a:extLst>
        </xdr:cNvPr>
        <xdr:cNvPicPr>
          <a:picLocks noChangeAspect="1"/>
        </xdr:cNvPicPr>
      </xdr:nvPicPr>
      <xdr:blipFill>
        <a:blip xmlns:r="http://schemas.openxmlformats.org/officeDocument/2006/relationships" r:embed="rId1"/>
        <a:stretch>
          <a:fillRect/>
        </a:stretch>
      </xdr:blipFill>
      <xdr:spPr>
        <a:xfrm>
          <a:off x="443176" y="420688"/>
          <a:ext cx="2324745" cy="853281"/>
        </a:xfrm>
        <a:prstGeom prst="rect">
          <a:avLst/>
        </a:prstGeom>
      </xdr:spPr>
    </xdr:pic>
    <xdr:clientData/>
  </xdr:twoCellAnchor>
  <xdr:twoCellAnchor editAs="oneCell">
    <xdr:from>
      <xdr:col>2</xdr:col>
      <xdr:colOff>6307667</xdr:colOff>
      <xdr:row>2</xdr:row>
      <xdr:rowOff>148167</xdr:rowOff>
    </xdr:from>
    <xdr:to>
      <xdr:col>4</xdr:col>
      <xdr:colOff>716381</xdr:colOff>
      <xdr:row>7</xdr:row>
      <xdr:rowOff>22144</xdr:rowOff>
    </xdr:to>
    <xdr:pic>
      <xdr:nvPicPr>
        <xdr:cNvPr id="3" name="Picture 2" descr="A black text on a white background&#10;&#10;Description automatically generated">
          <a:extLst>
            <a:ext uri="{FF2B5EF4-FFF2-40B4-BE49-F238E27FC236}">
              <a16:creationId xmlns:a16="http://schemas.microsoft.com/office/drawing/2014/main" id="{16D57E03-D86D-40C8-97A2-194057BB16FA}"/>
            </a:ext>
          </a:extLst>
        </xdr:cNvPr>
        <xdr:cNvPicPr>
          <a:picLocks noChangeAspect="1"/>
        </xdr:cNvPicPr>
      </xdr:nvPicPr>
      <xdr:blipFill>
        <a:blip xmlns:r="http://schemas.openxmlformats.org/officeDocument/2006/relationships" r:embed="rId2"/>
        <a:stretch>
          <a:fillRect/>
        </a:stretch>
      </xdr:blipFill>
      <xdr:spPr>
        <a:xfrm>
          <a:off x="6699250" y="465667"/>
          <a:ext cx="4129118" cy="65396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8A1DFD35-7A99-4F2E-9AF1-74958C8F15FD}"/>
            </a:ext>
          </a:extLst>
        </xdr:cNvPr>
        <xdr:cNvPicPr>
          <a:picLocks noChangeAspect="1"/>
        </xdr:cNvPicPr>
      </xdr:nvPicPr>
      <xdr:blipFill>
        <a:blip xmlns:r="http://schemas.openxmlformats.org/officeDocument/2006/relationships" r:embed="rId1"/>
        <a:stretch>
          <a:fillRect/>
        </a:stretch>
      </xdr:blipFill>
      <xdr:spPr>
        <a:xfrm>
          <a:off x="404812" y="333375"/>
          <a:ext cx="2324745" cy="869156"/>
        </a:xfrm>
        <a:prstGeom prst="rect">
          <a:avLst/>
        </a:prstGeom>
      </xdr:spPr>
    </xdr:pic>
    <xdr:clientData/>
  </xdr:twoCellAnchor>
  <xdr:twoCellAnchor editAs="oneCell">
    <xdr:from>
      <xdr:col>7</xdr:col>
      <xdr:colOff>1259416</xdr:colOff>
      <xdr:row>2</xdr:row>
      <xdr:rowOff>0</xdr:rowOff>
    </xdr:from>
    <xdr:to>
      <xdr:col>9</xdr:col>
      <xdr:colOff>1618</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E997E09B-25BC-48A6-9542-A3D304F51973}"/>
            </a:ext>
          </a:extLst>
        </xdr:cNvPr>
        <xdr:cNvPicPr>
          <a:picLocks noChangeAspect="1"/>
        </xdr:cNvPicPr>
      </xdr:nvPicPr>
      <xdr:blipFill>
        <a:blip xmlns:r="http://schemas.openxmlformats.org/officeDocument/2006/relationships" r:embed="rId2"/>
        <a:stretch>
          <a:fillRect/>
        </a:stretch>
      </xdr:blipFill>
      <xdr:spPr>
        <a:xfrm>
          <a:off x="6233583" y="359833"/>
          <a:ext cx="4125943" cy="6507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5293</xdr:colOff>
      <xdr:row>3</xdr:row>
      <xdr:rowOff>23814</xdr:rowOff>
    </xdr:from>
    <xdr:to>
      <xdr:col>4</xdr:col>
      <xdr:colOff>293159</xdr:colOff>
      <xdr:row>6</xdr:row>
      <xdr:rowOff>6451</xdr:rowOff>
    </xdr:to>
    <xdr:pic>
      <xdr:nvPicPr>
        <xdr:cNvPr id="2" name="Picture 1">
          <a:extLst>
            <a:ext uri="{FF2B5EF4-FFF2-40B4-BE49-F238E27FC236}">
              <a16:creationId xmlns:a16="http://schemas.microsoft.com/office/drawing/2014/main" id="{A70F2641-B6C3-456D-92B5-4402F507A885}"/>
            </a:ext>
          </a:extLst>
        </xdr:cNvPr>
        <xdr:cNvPicPr>
          <a:picLocks noChangeAspect="1"/>
        </xdr:cNvPicPr>
      </xdr:nvPicPr>
      <xdr:blipFill>
        <a:blip xmlns:r="http://schemas.openxmlformats.org/officeDocument/2006/relationships" r:embed="rId1"/>
        <a:stretch>
          <a:fillRect/>
        </a:stretch>
      </xdr:blipFill>
      <xdr:spPr>
        <a:xfrm>
          <a:off x="968376" y="500064"/>
          <a:ext cx="1497541" cy="557312"/>
        </a:xfrm>
        <a:prstGeom prst="rect">
          <a:avLst/>
        </a:prstGeom>
      </xdr:spPr>
    </xdr:pic>
    <xdr:clientData/>
  </xdr:twoCellAnchor>
  <xdr:twoCellAnchor editAs="oneCell">
    <xdr:from>
      <xdr:col>5</xdr:col>
      <xdr:colOff>338668</xdr:colOff>
      <xdr:row>2</xdr:row>
      <xdr:rowOff>42333</xdr:rowOff>
    </xdr:from>
    <xdr:to>
      <xdr:col>8</xdr:col>
      <xdr:colOff>1687544</xdr:colOff>
      <xdr:row>6</xdr:row>
      <xdr:rowOff>977</xdr:rowOff>
    </xdr:to>
    <xdr:pic>
      <xdr:nvPicPr>
        <xdr:cNvPr id="3" name="Picture 2" descr="A black text on a white background&#10;&#10;Description automatically generated">
          <a:extLst>
            <a:ext uri="{FF2B5EF4-FFF2-40B4-BE49-F238E27FC236}">
              <a16:creationId xmlns:a16="http://schemas.microsoft.com/office/drawing/2014/main" id="{5643CF00-2BE0-4A2F-8618-935DD491DAE1}"/>
            </a:ext>
          </a:extLst>
        </xdr:cNvPr>
        <xdr:cNvPicPr>
          <a:picLocks noChangeAspect="1"/>
        </xdr:cNvPicPr>
      </xdr:nvPicPr>
      <xdr:blipFill>
        <a:blip xmlns:r="http://schemas.openxmlformats.org/officeDocument/2006/relationships" r:embed="rId2"/>
        <a:stretch>
          <a:fillRect/>
        </a:stretch>
      </xdr:blipFill>
      <xdr:spPr>
        <a:xfrm>
          <a:off x="4222751" y="359833"/>
          <a:ext cx="3928035" cy="6888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59531</xdr:colOff>
      <xdr:row>0</xdr:row>
      <xdr:rowOff>226218</xdr:rowOff>
    </xdr:from>
    <xdr:to>
      <xdr:col>3</xdr:col>
      <xdr:colOff>160982</xdr:colOff>
      <xdr:row>5</xdr:row>
      <xdr:rowOff>59530</xdr:rowOff>
    </xdr:to>
    <xdr:pic>
      <xdr:nvPicPr>
        <xdr:cNvPr id="2" name="Picture 1">
          <a:extLst>
            <a:ext uri="{FF2B5EF4-FFF2-40B4-BE49-F238E27FC236}">
              <a16:creationId xmlns:a16="http://schemas.microsoft.com/office/drawing/2014/main" id="{2E5CF957-174F-4837-8853-B035B1846C02}"/>
            </a:ext>
          </a:extLst>
        </xdr:cNvPr>
        <xdr:cNvPicPr>
          <a:picLocks noChangeAspect="1"/>
        </xdr:cNvPicPr>
      </xdr:nvPicPr>
      <xdr:blipFill>
        <a:blip xmlns:r="http://schemas.openxmlformats.org/officeDocument/2006/relationships" r:embed="rId1"/>
        <a:stretch>
          <a:fillRect/>
        </a:stretch>
      </xdr:blipFill>
      <xdr:spPr>
        <a:xfrm>
          <a:off x="821531" y="226218"/>
          <a:ext cx="2324745" cy="869156"/>
        </a:xfrm>
        <a:prstGeom prst="rect">
          <a:avLst/>
        </a:prstGeom>
      </xdr:spPr>
    </xdr:pic>
    <xdr:clientData/>
  </xdr:twoCellAnchor>
  <xdr:twoCellAnchor editAs="oneCell">
    <xdr:from>
      <xdr:col>4</xdr:col>
      <xdr:colOff>984250</xdr:colOff>
      <xdr:row>1</xdr:row>
      <xdr:rowOff>63500</xdr:rowOff>
    </xdr:from>
    <xdr:to>
      <xdr:col>6</xdr:col>
      <xdr:colOff>1038784</xdr:colOff>
      <xdr:row>5</xdr:row>
      <xdr:rowOff>978</xdr:rowOff>
    </xdr:to>
    <xdr:pic>
      <xdr:nvPicPr>
        <xdr:cNvPr id="3" name="Picture 2" descr="A black text on a white background&#10;&#10;Description automatically generated">
          <a:extLst>
            <a:ext uri="{FF2B5EF4-FFF2-40B4-BE49-F238E27FC236}">
              <a16:creationId xmlns:a16="http://schemas.microsoft.com/office/drawing/2014/main" id="{095F984D-96FF-421E-ACAB-72B81A3B293F}"/>
            </a:ext>
          </a:extLst>
        </xdr:cNvPr>
        <xdr:cNvPicPr>
          <a:picLocks noChangeAspect="1"/>
        </xdr:cNvPicPr>
      </xdr:nvPicPr>
      <xdr:blipFill>
        <a:blip xmlns:r="http://schemas.openxmlformats.org/officeDocument/2006/relationships" r:embed="rId2"/>
        <a:stretch>
          <a:fillRect/>
        </a:stretch>
      </xdr:blipFill>
      <xdr:spPr>
        <a:xfrm>
          <a:off x="6551083" y="338667"/>
          <a:ext cx="4129118" cy="657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0</xdr:row>
      <xdr:rowOff>134471</xdr:rowOff>
    </xdr:from>
    <xdr:to>
      <xdr:col>2</xdr:col>
      <xdr:colOff>1759323</xdr:colOff>
      <xdr:row>4</xdr:row>
      <xdr:rowOff>119879</xdr:rowOff>
    </xdr:to>
    <xdr:pic>
      <xdr:nvPicPr>
        <xdr:cNvPr id="2" name="Picture 1">
          <a:extLst>
            <a:ext uri="{FF2B5EF4-FFF2-40B4-BE49-F238E27FC236}">
              <a16:creationId xmlns:a16="http://schemas.microsoft.com/office/drawing/2014/main" id="{8773AD6D-43A5-44D2-A95F-BC61D9B0CF7B}"/>
            </a:ext>
          </a:extLst>
        </xdr:cNvPr>
        <xdr:cNvPicPr>
          <a:picLocks noChangeAspect="1"/>
        </xdr:cNvPicPr>
      </xdr:nvPicPr>
      <xdr:blipFill>
        <a:blip xmlns:r="http://schemas.openxmlformats.org/officeDocument/2006/relationships" r:embed="rId1"/>
        <a:stretch>
          <a:fillRect/>
        </a:stretch>
      </xdr:blipFill>
      <xdr:spPr>
        <a:xfrm>
          <a:off x="392206" y="134471"/>
          <a:ext cx="1759323" cy="657761"/>
        </a:xfrm>
        <a:prstGeom prst="rect">
          <a:avLst/>
        </a:prstGeom>
      </xdr:spPr>
    </xdr:pic>
    <xdr:clientData/>
  </xdr:twoCellAnchor>
  <xdr:twoCellAnchor editAs="oneCell">
    <xdr:from>
      <xdr:col>2</xdr:col>
      <xdr:colOff>3395382</xdr:colOff>
      <xdr:row>1</xdr:row>
      <xdr:rowOff>56030</xdr:rowOff>
    </xdr:from>
    <xdr:to>
      <xdr:col>3</xdr:col>
      <xdr:colOff>551266</xdr:colOff>
      <xdr:row>5</xdr:row>
      <xdr:rowOff>26440</xdr:rowOff>
    </xdr:to>
    <xdr:pic>
      <xdr:nvPicPr>
        <xdr:cNvPr id="3" name="Picture 2" descr="A black text on a white background&#10;&#10;Description automatically generated">
          <a:extLst>
            <a:ext uri="{FF2B5EF4-FFF2-40B4-BE49-F238E27FC236}">
              <a16:creationId xmlns:a16="http://schemas.microsoft.com/office/drawing/2014/main" id="{E244EFF4-A412-4E5A-ADA9-EE833B14BD82}"/>
            </a:ext>
          </a:extLst>
        </xdr:cNvPr>
        <xdr:cNvPicPr>
          <a:picLocks noChangeAspect="1"/>
        </xdr:cNvPicPr>
      </xdr:nvPicPr>
      <xdr:blipFill>
        <a:blip xmlns:r="http://schemas.openxmlformats.org/officeDocument/2006/relationships" r:embed="rId2"/>
        <a:stretch>
          <a:fillRect/>
        </a:stretch>
      </xdr:blipFill>
      <xdr:spPr>
        <a:xfrm>
          <a:off x="3787588" y="212912"/>
          <a:ext cx="3812178" cy="676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243417</xdr:colOff>
      <xdr:row>1</xdr:row>
      <xdr:rowOff>116416</xdr:rowOff>
    </xdr:from>
    <xdr:to>
      <xdr:col>2</xdr:col>
      <xdr:colOff>2095500</xdr:colOff>
      <xdr:row>5</xdr:row>
      <xdr:rowOff>100721</xdr:rowOff>
    </xdr:to>
    <xdr:pic>
      <xdr:nvPicPr>
        <xdr:cNvPr id="2" name="Picture 1">
          <a:extLst>
            <a:ext uri="{FF2B5EF4-FFF2-40B4-BE49-F238E27FC236}">
              <a16:creationId xmlns:a16="http://schemas.microsoft.com/office/drawing/2014/main" id="{FAF94CE0-F8ED-4262-BA5E-3C45FDACC332}"/>
            </a:ext>
          </a:extLst>
        </xdr:cNvPr>
        <xdr:cNvPicPr>
          <a:picLocks noChangeAspect="1"/>
        </xdr:cNvPicPr>
      </xdr:nvPicPr>
      <xdr:blipFill>
        <a:blip xmlns:r="http://schemas.openxmlformats.org/officeDocument/2006/relationships" r:embed="rId1"/>
        <a:stretch>
          <a:fillRect/>
        </a:stretch>
      </xdr:blipFill>
      <xdr:spPr>
        <a:xfrm>
          <a:off x="635000" y="275166"/>
          <a:ext cx="1852083" cy="693388"/>
        </a:xfrm>
        <a:prstGeom prst="rect">
          <a:avLst/>
        </a:prstGeom>
      </xdr:spPr>
    </xdr:pic>
    <xdr:clientData/>
  </xdr:twoCellAnchor>
  <xdr:twoCellAnchor editAs="oneCell">
    <xdr:from>
      <xdr:col>2</xdr:col>
      <xdr:colOff>3164417</xdr:colOff>
      <xdr:row>1</xdr:row>
      <xdr:rowOff>63499</xdr:rowOff>
    </xdr:from>
    <xdr:to>
      <xdr:col>5</xdr:col>
      <xdr:colOff>1825127</xdr:colOff>
      <xdr:row>5</xdr:row>
      <xdr:rowOff>29551</xdr:rowOff>
    </xdr:to>
    <xdr:pic>
      <xdr:nvPicPr>
        <xdr:cNvPr id="3" name="Picture 2" descr="A black text on a white background&#10;&#10;Description automatically generated">
          <a:extLst>
            <a:ext uri="{FF2B5EF4-FFF2-40B4-BE49-F238E27FC236}">
              <a16:creationId xmlns:a16="http://schemas.microsoft.com/office/drawing/2014/main" id="{ED9426A9-460E-4D89-ADF3-78173A95CFCF}"/>
            </a:ext>
          </a:extLst>
        </xdr:cNvPr>
        <xdr:cNvPicPr>
          <a:picLocks noChangeAspect="1"/>
        </xdr:cNvPicPr>
      </xdr:nvPicPr>
      <xdr:blipFill>
        <a:blip xmlns:r="http://schemas.openxmlformats.org/officeDocument/2006/relationships" r:embed="rId2"/>
        <a:stretch>
          <a:fillRect/>
        </a:stretch>
      </xdr:blipFill>
      <xdr:spPr>
        <a:xfrm>
          <a:off x="3556000" y="222249"/>
          <a:ext cx="3793627" cy="6751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1073576</xdr:colOff>
      <xdr:row>5</xdr:row>
      <xdr:rowOff>67101</xdr:rowOff>
    </xdr:to>
    <xdr:pic>
      <xdr:nvPicPr>
        <xdr:cNvPr id="2" name="Picture 1">
          <a:extLst>
            <a:ext uri="{FF2B5EF4-FFF2-40B4-BE49-F238E27FC236}">
              <a16:creationId xmlns:a16="http://schemas.microsoft.com/office/drawing/2014/main" id="{B315F6A6-53B2-4067-A610-2A0A2F0CF6AC}"/>
            </a:ext>
          </a:extLst>
        </xdr:cNvPr>
        <xdr:cNvPicPr>
          <a:picLocks noChangeAspect="1"/>
        </xdr:cNvPicPr>
      </xdr:nvPicPr>
      <xdr:blipFill>
        <a:blip xmlns:r="http://schemas.openxmlformats.org/officeDocument/2006/relationships" r:embed="rId1"/>
        <a:stretch>
          <a:fillRect/>
        </a:stretch>
      </xdr:blipFill>
      <xdr:spPr>
        <a:xfrm>
          <a:off x="406400" y="317500"/>
          <a:ext cx="1918126" cy="556051"/>
        </a:xfrm>
        <a:prstGeom prst="rect">
          <a:avLst/>
        </a:prstGeom>
      </xdr:spPr>
    </xdr:pic>
    <xdr:clientData/>
  </xdr:twoCellAnchor>
  <xdr:twoCellAnchor editAs="oneCell">
    <xdr:from>
      <xdr:col>4</xdr:col>
      <xdr:colOff>33391</xdr:colOff>
      <xdr:row>1</xdr:row>
      <xdr:rowOff>151853</xdr:rowOff>
    </xdr:from>
    <xdr:to>
      <xdr:col>5</xdr:col>
      <xdr:colOff>1221183</xdr:colOff>
      <xdr:row>5</xdr:row>
      <xdr:rowOff>47890</xdr:rowOff>
    </xdr:to>
    <xdr:pic>
      <xdr:nvPicPr>
        <xdr:cNvPr id="3" name="Picture 2">
          <a:extLst>
            <a:ext uri="{FF2B5EF4-FFF2-40B4-BE49-F238E27FC236}">
              <a16:creationId xmlns:a16="http://schemas.microsoft.com/office/drawing/2014/main" id="{17E51940-8DF5-4ED7-9B2E-9B2554E8BDD8}"/>
            </a:ext>
          </a:extLst>
        </xdr:cNvPr>
        <xdr:cNvPicPr>
          <a:picLocks noChangeAspect="1"/>
        </xdr:cNvPicPr>
      </xdr:nvPicPr>
      <xdr:blipFill>
        <a:blip xmlns:r="http://schemas.openxmlformats.org/officeDocument/2006/relationships" r:embed="rId2"/>
        <a:stretch>
          <a:fillRect/>
        </a:stretch>
      </xdr:blipFill>
      <xdr:spPr>
        <a:xfrm>
          <a:off x="3271891" y="310603"/>
          <a:ext cx="2032342" cy="537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27EB33C2-A2CB-414E-81A5-9C24AA78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xdr:row>
      <xdr:rowOff>19050</xdr:rowOff>
    </xdr:from>
    <xdr:to>
      <xdr:col>1</xdr:col>
      <xdr:colOff>1035178</xdr:colOff>
      <xdr:row>5</xdr:row>
      <xdr:rowOff>85725</xdr:rowOff>
    </xdr:to>
    <xdr:pic>
      <xdr:nvPicPr>
        <xdr:cNvPr id="5" name="Picture 4">
          <a:extLst>
            <a:ext uri="{FF2B5EF4-FFF2-40B4-BE49-F238E27FC236}">
              <a16:creationId xmlns:a16="http://schemas.microsoft.com/office/drawing/2014/main" id="{5BB3D1AA-F685-4FA1-B2C1-8C568B281237}"/>
            </a:ext>
          </a:extLst>
        </xdr:cNvPr>
        <xdr:cNvPicPr>
          <a:picLocks noChangeAspect="1"/>
        </xdr:cNvPicPr>
      </xdr:nvPicPr>
      <xdr:blipFill>
        <a:blip xmlns:r="http://schemas.openxmlformats.org/officeDocument/2006/relationships" r:embed="rId2"/>
        <a:stretch>
          <a:fillRect/>
        </a:stretch>
      </xdr:blipFill>
      <xdr:spPr>
        <a:xfrm>
          <a:off x="304800" y="400050"/>
          <a:ext cx="1720978" cy="609600"/>
        </a:xfrm>
        <a:prstGeom prst="rect">
          <a:avLst/>
        </a:prstGeom>
      </xdr:spPr>
    </xdr:pic>
    <xdr:clientData/>
  </xdr:twoCellAnchor>
  <xdr:twoCellAnchor editAs="oneCell">
    <xdr:from>
      <xdr:col>2</xdr:col>
      <xdr:colOff>933450</xdr:colOff>
      <xdr:row>2</xdr:row>
      <xdr:rowOff>0</xdr:rowOff>
    </xdr:from>
    <xdr:to>
      <xdr:col>6</xdr:col>
      <xdr:colOff>1122393</xdr:colOff>
      <xdr:row>5</xdr:row>
      <xdr:rowOff>114219</xdr:rowOff>
    </xdr:to>
    <xdr:pic>
      <xdr:nvPicPr>
        <xdr:cNvPr id="2" name="Picture 1" descr="A black text on a white background&#10;&#10;Description automatically generated">
          <a:extLst>
            <a:ext uri="{FF2B5EF4-FFF2-40B4-BE49-F238E27FC236}">
              <a16:creationId xmlns:a16="http://schemas.microsoft.com/office/drawing/2014/main" id="{20698954-221C-4AB0-AE4C-CB90632E0396}"/>
            </a:ext>
          </a:extLst>
        </xdr:cNvPr>
        <xdr:cNvPicPr>
          <a:picLocks noChangeAspect="1"/>
        </xdr:cNvPicPr>
      </xdr:nvPicPr>
      <xdr:blipFill>
        <a:blip xmlns:r="http://schemas.openxmlformats.org/officeDocument/2006/relationships" r:embed="rId3"/>
        <a:stretch>
          <a:fillRect/>
        </a:stretch>
      </xdr:blipFill>
      <xdr:spPr>
        <a:xfrm>
          <a:off x="3467100" y="381000"/>
          <a:ext cx="3951318" cy="657144"/>
        </a:xfrm>
        <a:prstGeom prst="rect">
          <a:avLst/>
        </a:prstGeom>
      </xdr:spPr>
    </xdr:pic>
    <xdr:clientData/>
  </xdr:twoCellAnchor>
  <xdr:twoCellAnchor editAs="oneCell">
    <xdr:from>
      <xdr:col>10</xdr:col>
      <xdr:colOff>0</xdr:colOff>
      <xdr:row>1</xdr:row>
      <xdr:rowOff>85725</xdr:rowOff>
    </xdr:from>
    <xdr:to>
      <xdr:col>10</xdr:col>
      <xdr:colOff>1</xdr:colOff>
      <xdr:row>4</xdr:row>
      <xdr:rowOff>49306</xdr:rowOff>
    </xdr:to>
    <xdr:pic>
      <xdr:nvPicPr>
        <xdr:cNvPr id="3" name="Image 6">
          <a:extLst>
            <a:ext uri="{FF2B5EF4-FFF2-40B4-BE49-F238E27FC236}">
              <a16:creationId xmlns:a16="http://schemas.microsoft.com/office/drawing/2014/main" id="{1F01C79F-0137-4980-92B2-FB1C0AC5B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98</xdr:col>
      <xdr:colOff>0</xdr:colOff>
      <xdr:row>2</xdr:row>
      <xdr:rowOff>85725</xdr:rowOff>
    </xdr:from>
    <xdr:ext cx="1" cy="542925"/>
    <xdr:pic>
      <xdr:nvPicPr>
        <xdr:cNvPr id="7" name="Imag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419100"/>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258006</xdr:colOff>
      <xdr:row>5</xdr:row>
      <xdr:rowOff>151979</xdr:rowOff>
    </xdr:to>
    <xdr:pic>
      <xdr:nvPicPr>
        <xdr:cNvPr id="2" name="Picture 1">
          <a:extLst>
            <a:ext uri="{FF2B5EF4-FFF2-40B4-BE49-F238E27FC236}">
              <a16:creationId xmlns:a16="http://schemas.microsoft.com/office/drawing/2014/main" id="{AFE9C547-3BDF-4750-B452-B99FEEAF5B39}"/>
            </a:ext>
          </a:extLst>
        </xdr:cNvPr>
        <xdr:cNvPicPr>
          <a:picLocks noChangeAspect="1"/>
        </xdr:cNvPicPr>
      </xdr:nvPicPr>
      <xdr:blipFill>
        <a:blip xmlns:r="http://schemas.openxmlformats.org/officeDocument/2006/relationships" r:embed="rId2"/>
        <a:stretch>
          <a:fillRect/>
        </a:stretch>
      </xdr:blipFill>
      <xdr:spPr>
        <a:xfrm>
          <a:off x="112058" y="67235"/>
          <a:ext cx="2324745" cy="869156"/>
        </a:xfrm>
        <a:prstGeom prst="rect">
          <a:avLst/>
        </a:prstGeom>
      </xdr:spPr>
    </xdr:pic>
    <xdr:clientData/>
  </xdr:twoCellAnchor>
  <xdr:twoCellAnchor editAs="oneCell">
    <xdr:from>
      <xdr:col>11</xdr:col>
      <xdr:colOff>0</xdr:colOff>
      <xdr:row>1</xdr:row>
      <xdr:rowOff>0</xdr:rowOff>
    </xdr:from>
    <xdr:to>
      <xdr:col>14</xdr:col>
      <xdr:colOff>971050</xdr:colOff>
      <xdr:row>5</xdr:row>
      <xdr:rowOff>9444</xdr:rowOff>
    </xdr:to>
    <xdr:pic>
      <xdr:nvPicPr>
        <xdr:cNvPr id="3" name="Picture 2" descr="A black text on a white background&#10;&#10;Description automatically generated">
          <a:extLst>
            <a:ext uri="{FF2B5EF4-FFF2-40B4-BE49-F238E27FC236}">
              <a16:creationId xmlns:a16="http://schemas.microsoft.com/office/drawing/2014/main" id="{88481832-E571-798B-C990-536A7300F448}"/>
            </a:ext>
          </a:extLst>
        </xdr:cNvPr>
        <xdr:cNvPicPr>
          <a:picLocks noChangeAspect="1"/>
        </xdr:cNvPicPr>
      </xdr:nvPicPr>
      <xdr:blipFill>
        <a:blip xmlns:r="http://schemas.openxmlformats.org/officeDocument/2006/relationships" r:embed="rId3"/>
        <a:stretch>
          <a:fillRect/>
        </a:stretch>
      </xdr:blipFill>
      <xdr:spPr>
        <a:xfrm>
          <a:off x="7958667" y="158750"/>
          <a:ext cx="3990476" cy="6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4</xdr:col>
      <xdr:colOff>38217</xdr:colOff>
      <xdr:row>5</xdr:row>
      <xdr:rowOff>123932</xdr:rowOff>
    </xdr:to>
    <xdr:pic>
      <xdr:nvPicPr>
        <xdr:cNvPr id="2" name="Picture 1">
          <a:extLst>
            <a:ext uri="{FF2B5EF4-FFF2-40B4-BE49-F238E27FC236}">
              <a16:creationId xmlns:a16="http://schemas.microsoft.com/office/drawing/2014/main" id="{016F0B67-2B1F-4CBF-A66C-B190E7818AA8}"/>
            </a:ext>
          </a:extLst>
        </xdr:cNvPr>
        <xdr:cNvPicPr>
          <a:picLocks noChangeAspect="1"/>
        </xdr:cNvPicPr>
      </xdr:nvPicPr>
      <xdr:blipFill>
        <a:blip xmlns:r="http://schemas.openxmlformats.org/officeDocument/2006/relationships" r:embed="rId1"/>
        <a:stretch>
          <a:fillRect/>
        </a:stretch>
      </xdr:blipFill>
      <xdr:spPr>
        <a:xfrm>
          <a:off x="264584" y="93929"/>
          <a:ext cx="2327391" cy="829468"/>
        </a:xfrm>
        <a:prstGeom prst="rect">
          <a:avLst/>
        </a:prstGeom>
      </xdr:spPr>
    </xdr:pic>
    <xdr:clientData/>
  </xdr:twoCellAnchor>
  <xdr:twoCellAnchor editAs="oneCell">
    <xdr:from>
      <xdr:col>8</xdr:col>
      <xdr:colOff>444500</xdr:colOff>
      <xdr:row>0</xdr:row>
      <xdr:rowOff>158749</xdr:rowOff>
    </xdr:from>
    <xdr:to>
      <xdr:col>11</xdr:col>
      <xdr:colOff>351503</xdr:colOff>
      <xdr:row>5</xdr:row>
      <xdr:rowOff>20238</xdr:rowOff>
    </xdr:to>
    <xdr:pic>
      <xdr:nvPicPr>
        <xdr:cNvPr id="3" name="Picture 2" descr="A black text on a white background&#10;&#10;Description automatically generated">
          <a:extLst>
            <a:ext uri="{FF2B5EF4-FFF2-40B4-BE49-F238E27FC236}">
              <a16:creationId xmlns:a16="http://schemas.microsoft.com/office/drawing/2014/main" id="{17A13C35-17B3-4DE7-A11B-8DB2AC310EA3}"/>
            </a:ext>
          </a:extLst>
        </xdr:cNvPr>
        <xdr:cNvPicPr>
          <a:picLocks noChangeAspect="1"/>
        </xdr:cNvPicPr>
      </xdr:nvPicPr>
      <xdr:blipFill>
        <a:blip xmlns:r="http://schemas.openxmlformats.org/officeDocument/2006/relationships" r:embed="rId2"/>
        <a:stretch>
          <a:fillRect/>
        </a:stretch>
      </xdr:blipFill>
      <xdr:spPr>
        <a:xfrm>
          <a:off x="8657167" y="158749"/>
          <a:ext cx="4132293" cy="64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5</xdr:row>
      <xdr:rowOff>58831</xdr:rowOff>
    </xdr:to>
    <xdr:pic>
      <xdr:nvPicPr>
        <xdr:cNvPr id="2" name="Image 6">
          <a:extLst>
            <a:ext uri="{FF2B5EF4-FFF2-40B4-BE49-F238E27FC236}">
              <a16:creationId xmlns:a16="http://schemas.microsoft.com/office/drawing/2014/main" id="{A3AE3314-926F-4FFA-A370-0995455B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798411F6-618D-4F9A-8DFF-896D3F3FFCAC}"/>
            </a:ext>
          </a:extLst>
        </xdr:cNvPr>
        <xdr:cNvPicPr>
          <a:picLocks noChangeAspect="1"/>
        </xdr:cNvPicPr>
      </xdr:nvPicPr>
      <xdr:blipFill>
        <a:blip xmlns:r="http://schemas.openxmlformats.org/officeDocument/2006/relationships" r:embed="rId2"/>
        <a:stretch>
          <a:fillRect/>
        </a:stretch>
      </xdr:blipFill>
      <xdr:spPr>
        <a:xfrm>
          <a:off x="380999" y="485775"/>
          <a:ext cx="1066801" cy="377879"/>
        </a:xfrm>
        <a:prstGeom prst="rect">
          <a:avLst/>
        </a:prstGeom>
      </xdr:spPr>
    </xdr:pic>
    <xdr:clientData/>
  </xdr:twoCellAnchor>
  <xdr:twoCellAnchor editAs="oneCell">
    <xdr:from>
      <xdr:col>2</xdr:col>
      <xdr:colOff>409575</xdr:colOff>
      <xdr:row>2</xdr:row>
      <xdr:rowOff>0</xdr:rowOff>
    </xdr:from>
    <xdr:to>
      <xdr:col>4</xdr:col>
      <xdr:colOff>800100</xdr:colOff>
      <xdr:row>5</xdr:row>
      <xdr:rowOff>30696</xdr:rowOff>
    </xdr:to>
    <xdr:pic>
      <xdr:nvPicPr>
        <xdr:cNvPr id="4" name="Picture 3" descr="A black text on a white background&#10;&#10;Description automatically generated">
          <a:extLst>
            <a:ext uri="{FF2B5EF4-FFF2-40B4-BE49-F238E27FC236}">
              <a16:creationId xmlns:a16="http://schemas.microsoft.com/office/drawing/2014/main" id="{4BF736D2-90E7-4258-9DAC-2CA67632067A}"/>
            </a:ext>
          </a:extLst>
        </xdr:cNvPr>
        <xdr:cNvPicPr>
          <a:picLocks noChangeAspect="1"/>
        </xdr:cNvPicPr>
      </xdr:nvPicPr>
      <xdr:blipFill>
        <a:blip xmlns:r="http://schemas.openxmlformats.org/officeDocument/2006/relationships" r:embed="rId3"/>
        <a:stretch>
          <a:fillRect/>
        </a:stretch>
      </xdr:blipFill>
      <xdr:spPr>
        <a:xfrm>
          <a:off x="2238375" y="381000"/>
          <a:ext cx="3457575" cy="573621"/>
        </a:xfrm>
        <a:prstGeom prst="rect">
          <a:avLst/>
        </a:prstGeom>
      </xdr:spPr>
    </xdr:pic>
    <xdr:clientData/>
  </xdr:twoCellAnchor>
  <xdr:twoCellAnchor editAs="oneCell">
    <xdr:from>
      <xdr:col>6</xdr:col>
      <xdr:colOff>0</xdr:colOff>
      <xdr:row>2</xdr:row>
      <xdr:rowOff>85725</xdr:rowOff>
    </xdr:from>
    <xdr:to>
      <xdr:col>6</xdr:col>
      <xdr:colOff>1</xdr:colOff>
      <xdr:row>5</xdr:row>
      <xdr:rowOff>58831</xdr:rowOff>
    </xdr:to>
    <xdr:pic>
      <xdr:nvPicPr>
        <xdr:cNvPr id="5" name="Image 6">
          <a:extLst>
            <a:ext uri="{FF2B5EF4-FFF2-40B4-BE49-F238E27FC236}">
              <a16:creationId xmlns:a16="http://schemas.microsoft.com/office/drawing/2014/main" id="{D5ECD397-4DC2-4934-964A-3A458531B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38744</xdr:rowOff>
    </xdr:to>
    <xdr:pic>
      <xdr:nvPicPr>
        <xdr:cNvPr id="2" name="Picture 1">
          <a:extLst>
            <a:ext uri="{FF2B5EF4-FFF2-40B4-BE49-F238E27FC236}">
              <a16:creationId xmlns:a16="http://schemas.microsoft.com/office/drawing/2014/main" id="{271D2D85-E111-4D5D-AB11-25A80275D566}"/>
            </a:ext>
          </a:extLst>
        </xdr:cNvPr>
        <xdr:cNvPicPr>
          <a:picLocks noChangeAspect="1"/>
        </xdr:cNvPicPr>
      </xdr:nvPicPr>
      <xdr:blipFill>
        <a:blip xmlns:r="http://schemas.openxmlformats.org/officeDocument/2006/relationships" r:embed="rId1"/>
        <a:stretch>
          <a:fillRect/>
        </a:stretch>
      </xdr:blipFill>
      <xdr:spPr>
        <a:xfrm>
          <a:off x="255323" y="322792"/>
          <a:ext cx="1131094" cy="414452"/>
        </a:xfrm>
        <a:prstGeom prst="rect">
          <a:avLst/>
        </a:prstGeom>
      </xdr:spPr>
    </xdr:pic>
    <xdr:clientData/>
  </xdr:twoCellAnchor>
  <xdr:twoCellAnchor editAs="oneCell">
    <xdr:from>
      <xdr:col>3</xdr:col>
      <xdr:colOff>751418</xdr:colOff>
      <xdr:row>1</xdr:row>
      <xdr:rowOff>63501</xdr:rowOff>
    </xdr:from>
    <xdr:to>
      <xdr:col>5</xdr:col>
      <xdr:colOff>1076886</xdr:colOff>
      <xdr:row>5</xdr:row>
      <xdr:rowOff>12620</xdr:rowOff>
    </xdr:to>
    <xdr:pic>
      <xdr:nvPicPr>
        <xdr:cNvPr id="3" name="Picture 2" descr="A black text on a white background&#10;&#10;Description automatically generated">
          <a:extLst>
            <a:ext uri="{FF2B5EF4-FFF2-40B4-BE49-F238E27FC236}">
              <a16:creationId xmlns:a16="http://schemas.microsoft.com/office/drawing/2014/main" id="{237F2EFC-6CAF-4142-8411-51B22264BA79}"/>
            </a:ext>
          </a:extLst>
        </xdr:cNvPr>
        <xdr:cNvPicPr>
          <a:picLocks noChangeAspect="1"/>
        </xdr:cNvPicPr>
      </xdr:nvPicPr>
      <xdr:blipFill>
        <a:blip xmlns:r="http://schemas.openxmlformats.org/officeDocument/2006/relationships" r:embed="rId2"/>
        <a:stretch>
          <a:fillRect/>
        </a:stretch>
      </xdr:blipFill>
      <xdr:spPr>
        <a:xfrm>
          <a:off x="2286001" y="222251"/>
          <a:ext cx="4132293" cy="644444"/>
        </a:xfrm>
        <a:prstGeom prst="rect">
          <a:avLst/>
        </a:prstGeom>
      </xdr:spPr>
    </xdr:pic>
    <xdr:clientData/>
  </xdr:twoCellAnchor>
  <xdr:twoCellAnchor editAs="oneCell">
    <xdr:from>
      <xdr:col>7</xdr:col>
      <xdr:colOff>0</xdr:colOff>
      <xdr:row>2</xdr:row>
      <xdr:rowOff>85725</xdr:rowOff>
    </xdr:from>
    <xdr:to>
      <xdr:col>7</xdr:col>
      <xdr:colOff>1</xdr:colOff>
      <xdr:row>5</xdr:row>
      <xdr:rowOff>27081</xdr:rowOff>
    </xdr:to>
    <xdr:pic>
      <xdr:nvPicPr>
        <xdr:cNvPr id="4" name="Image 6">
          <a:extLst>
            <a:ext uri="{FF2B5EF4-FFF2-40B4-BE49-F238E27FC236}">
              <a16:creationId xmlns:a16="http://schemas.microsoft.com/office/drawing/2014/main" id="{38A1C3CC-46FA-4636-B0F1-BCD54E8FA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2</xdr:row>
      <xdr:rowOff>85725</xdr:rowOff>
    </xdr:from>
    <xdr:to>
      <xdr:col>7</xdr:col>
      <xdr:colOff>1</xdr:colOff>
      <xdr:row>5</xdr:row>
      <xdr:rowOff>58831</xdr:rowOff>
    </xdr:to>
    <xdr:pic>
      <xdr:nvPicPr>
        <xdr:cNvPr id="6" name="Image 6">
          <a:extLst>
            <a:ext uri="{FF2B5EF4-FFF2-40B4-BE49-F238E27FC236}">
              <a16:creationId xmlns:a16="http://schemas.microsoft.com/office/drawing/2014/main" id="{3178C15B-B768-43ED-9EDF-06A63B16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0"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2</xdr:row>
      <xdr:rowOff>47625</xdr:rowOff>
    </xdr:from>
    <xdr:to>
      <xdr:col>1</xdr:col>
      <xdr:colOff>1345214</xdr:colOff>
      <xdr:row>5</xdr:row>
      <xdr:rowOff>38100</xdr:rowOff>
    </xdr:to>
    <xdr:pic>
      <xdr:nvPicPr>
        <xdr:cNvPr id="7" name="Picture 6">
          <a:extLst>
            <a:ext uri="{FF2B5EF4-FFF2-40B4-BE49-F238E27FC236}">
              <a16:creationId xmlns:a16="http://schemas.microsoft.com/office/drawing/2014/main" id="{A13F07C0-5C18-41FE-BF02-E87A1BC2F36B}"/>
            </a:ext>
          </a:extLst>
        </xdr:cNvPr>
        <xdr:cNvPicPr>
          <a:picLocks noChangeAspect="1"/>
        </xdr:cNvPicPr>
      </xdr:nvPicPr>
      <xdr:blipFill>
        <a:blip xmlns:r="http://schemas.openxmlformats.org/officeDocument/2006/relationships" r:embed="rId2"/>
        <a:stretch>
          <a:fillRect/>
        </a:stretch>
      </xdr:blipFill>
      <xdr:spPr>
        <a:xfrm>
          <a:off x="371475" y="428625"/>
          <a:ext cx="1554764" cy="533400"/>
        </a:xfrm>
        <a:prstGeom prst="rect">
          <a:avLst/>
        </a:prstGeom>
      </xdr:spPr>
    </xdr:pic>
    <xdr:clientData/>
  </xdr:twoCellAnchor>
  <xdr:twoCellAnchor editAs="oneCell">
    <xdr:from>
      <xdr:col>1</xdr:col>
      <xdr:colOff>2276475</xdr:colOff>
      <xdr:row>1</xdr:row>
      <xdr:rowOff>104775</xdr:rowOff>
    </xdr:from>
    <xdr:to>
      <xdr:col>2</xdr:col>
      <xdr:colOff>2011393</xdr:colOff>
      <xdr:row>5</xdr:row>
      <xdr:rowOff>22144</xdr:rowOff>
    </xdr:to>
    <xdr:pic>
      <xdr:nvPicPr>
        <xdr:cNvPr id="2" name="Picture 1" descr="A black text on a white background&#10;&#10;Description automatically generated">
          <a:extLst>
            <a:ext uri="{FF2B5EF4-FFF2-40B4-BE49-F238E27FC236}">
              <a16:creationId xmlns:a16="http://schemas.microsoft.com/office/drawing/2014/main" id="{3ADB72C5-B3BF-4BD1-B8E9-5B629FD9550C}"/>
            </a:ext>
          </a:extLst>
        </xdr:cNvPr>
        <xdr:cNvPicPr>
          <a:picLocks noChangeAspect="1"/>
        </xdr:cNvPicPr>
      </xdr:nvPicPr>
      <xdr:blipFill>
        <a:blip xmlns:r="http://schemas.openxmlformats.org/officeDocument/2006/relationships" r:embed="rId3"/>
        <a:stretch>
          <a:fillRect/>
        </a:stretch>
      </xdr:blipFill>
      <xdr:spPr>
        <a:xfrm>
          <a:off x="2857500" y="295275"/>
          <a:ext cx="3925918" cy="65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0</xdr:colOff>
      <xdr:row>2</xdr:row>
      <xdr:rowOff>85725</xdr:rowOff>
    </xdr:from>
    <xdr:to>
      <xdr:col>14</xdr:col>
      <xdr:colOff>1</xdr:colOff>
      <xdr:row>5</xdr:row>
      <xdr:rowOff>58831</xdr:rowOff>
    </xdr:to>
    <xdr:pic>
      <xdr:nvPicPr>
        <xdr:cNvPr id="4" name="Image 6">
          <a:extLst>
            <a:ext uri="{FF2B5EF4-FFF2-40B4-BE49-F238E27FC236}">
              <a16:creationId xmlns:a16="http://schemas.microsoft.com/office/drawing/2014/main" id="{C506D513-1F9C-40DB-B4D7-60F120A6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5" name="Picture 4">
          <a:extLst>
            <a:ext uri="{FF2B5EF4-FFF2-40B4-BE49-F238E27FC236}">
              <a16:creationId xmlns:a16="http://schemas.microsoft.com/office/drawing/2014/main" id="{FBA64190-D360-4F18-A3A1-109694B260BE}"/>
            </a:ext>
          </a:extLst>
        </xdr:cNvPr>
        <xdr:cNvPicPr>
          <a:picLocks noChangeAspect="1"/>
        </xdr:cNvPicPr>
      </xdr:nvPicPr>
      <xdr:blipFill>
        <a:blip xmlns:r="http://schemas.openxmlformats.org/officeDocument/2006/relationships" r:embed="rId2"/>
        <a:stretch>
          <a:fillRect/>
        </a:stretch>
      </xdr:blipFill>
      <xdr:spPr>
        <a:xfrm>
          <a:off x="438149" y="466725"/>
          <a:ext cx="1407756" cy="495300"/>
        </a:xfrm>
        <a:prstGeom prst="rect">
          <a:avLst/>
        </a:prstGeom>
      </xdr:spPr>
    </xdr:pic>
    <xdr:clientData/>
  </xdr:twoCellAnchor>
  <xdr:twoCellAnchor editAs="oneCell">
    <xdr:from>
      <xdr:col>4</xdr:col>
      <xdr:colOff>425450</xdr:colOff>
      <xdr:row>1</xdr:row>
      <xdr:rowOff>142875</xdr:rowOff>
    </xdr:from>
    <xdr:to>
      <xdr:col>6</xdr:col>
      <xdr:colOff>1189068</xdr:colOff>
      <xdr:row>5</xdr:row>
      <xdr:rowOff>76119</xdr:rowOff>
    </xdr:to>
    <xdr:pic>
      <xdr:nvPicPr>
        <xdr:cNvPr id="2" name="Picture 1" descr="A black text on a white background&#10;&#10;Description automatically generated">
          <a:extLst>
            <a:ext uri="{FF2B5EF4-FFF2-40B4-BE49-F238E27FC236}">
              <a16:creationId xmlns:a16="http://schemas.microsoft.com/office/drawing/2014/main" id="{F06E87BA-417B-415C-90FB-6F08FB077FF7}"/>
            </a:ext>
          </a:extLst>
        </xdr:cNvPr>
        <xdr:cNvPicPr>
          <a:picLocks noChangeAspect="1"/>
        </xdr:cNvPicPr>
      </xdr:nvPicPr>
      <xdr:blipFill>
        <a:blip xmlns:r="http://schemas.openxmlformats.org/officeDocument/2006/relationships" r:embed="rId3"/>
        <a:stretch>
          <a:fillRect/>
        </a:stretch>
      </xdr:blipFill>
      <xdr:spPr>
        <a:xfrm>
          <a:off x="2073275" y="323850"/>
          <a:ext cx="4059268" cy="6571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C021F-554E-4D95-94B9-A3FD7A96E17D}" name="PrincipalOutstandingBalance" displayName="PrincipalOutstandingBalance" ref="B45:F54" totalsRowCount="1" headerRowDxfId="316" dataDxfId="315">
  <tableColumns count="5">
    <tableColumn id="1" xr3:uid="{5F97FF0A-E181-455E-B99F-7E053CA0B170}" name="Bucket Principal Outstanding Balance" totalsRowLabel="Total" dataDxfId="314" totalsRowDxfId="313"/>
    <tableColumn id="2" xr3:uid="{FE81D53F-6306-4248-879D-7090DC6B6E04}" name="Principal Outstanding Balance" totalsRowFunction="sum" dataDxfId="312" totalsRowDxfId="311">
      <calculatedColumnFormula>_xlfn.XLOOKUP(A46,INPUT_DATA!$CJ$4:$CJ$397,INPUT_DATA!$CL$4:$CL$397)</calculatedColumnFormula>
    </tableColumn>
    <tableColumn id="3" xr3:uid="{C63709B2-AA07-4A17-BF3A-3C6320C5FEE4}" name="% of Total (Amount)" totalsRowFunction="sum" dataDxfId="310" totalsRowDxfId="309">
      <calculatedColumnFormula>PrincipalOutstandingBalance[[#This Row],[Principal Outstanding Balance]]/PrincipalOutstandingBalance[[#Totals],[Principal Outstanding Balance]]</calculatedColumnFormula>
    </tableColumn>
    <tableColumn id="4" xr3:uid="{17C27ADA-A71F-40D5-AED4-96FB6BE39FC7}" name="Nb of Loans" totalsRowFunction="sum" dataDxfId="308" totalsRowDxfId="307">
      <calculatedColumnFormula>_xlfn.XLOOKUP(A46,INPUT_DATA!$CJ$4:$CJ$397,INPUT_DATA!$CM$4:$CM$397)</calculatedColumnFormula>
    </tableColumn>
    <tableColumn id="5" xr3:uid="{4BA6EA27-E263-4C61-8F9E-C440E6A9DF0D}" name="% of Total (Number)" totalsRowFunction="sum" dataDxfId="306" totalsRowDxfId="305" dataCellStyle="Normal 6">
      <calculatedColumnFormula>PrincipalOutstandingBalance[[#This Row],[Nb of Loans]]/PrincipalOutstandingBalance[[#Totals],[Nb of Loans]]</calculatedColumnFormula>
    </tableColumn>
  </tableColumns>
  <tableStyleInfo name="TableStyleLight8"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8E7502-5E0A-48FC-A117-9A330811ABBE}" name="PropertyType" displayName="PropertyType" ref="B249:F255" totalsRowCount="1" headerRowDxfId="206" dataDxfId="205">
  <tableColumns count="5">
    <tableColumn id="1" xr3:uid="{B369E1C6-B67A-44F1-8718-C8814428F789}" name="Property Type" totalsRowLabel="Total" dataDxfId="204" totalsRowDxfId="203"/>
    <tableColumn id="2" xr3:uid="{DA7E6C47-3475-4A4A-8D80-83CD365B1945}" name="Principal Outstanding Balance" totalsRowFunction="sum" dataDxfId="202" totalsRowDxfId="201">
      <calculatedColumnFormula>_xlfn.XLOOKUP(A250,INPUT_DATA!$CJ$4:$CJ$397,INPUT_DATA!$CL$4:$CL$397)</calculatedColumnFormula>
    </tableColumn>
    <tableColumn id="3" xr3:uid="{D814BC89-2385-4B32-8DF9-474B367B05F6}" name="% of Total (Amount)" totalsRowFunction="sum" dataDxfId="200" totalsRowDxfId="199">
      <calculatedColumnFormula>PropertyType[[#This Row],[Principal Outstanding Balance]]/PropertyType[[#Totals],[Principal Outstanding Balance]]</calculatedColumnFormula>
    </tableColumn>
    <tableColumn id="4" xr3:uid="{FF0C2557-7929-48F2-A4D2-1F092EA558E7}" name="Nb of Loans" totalsRowFunction="sum" dataDxfId="198" totalsRowDxfId="197">
      <calculatedColumnFormula>_xlfn.XLOOKUP(A250,INPUT_DATA!$CJ$4:$CJ$397,INPUT_DATA!$CM$4:$CM$397)</calculatedColumnFormula>
    </tableColumn>
    <tableColumn id="5" xr3:uid="{F98AFA8A-2D0B-4F85-AA88-7ECE40345BF2}" name="% of Total (Number)" totalsRowFunction="sum" dataDxfId="196" totalsRowDxfId="195">
      <calculatedColumnFormula>PropertyType[[#This Row],[Nb of Loans]]/PropertyType[[#Totals],[Nb of Loans]]</calculatedColumnFormula>
    </tableColumn>
  </tableColumns>
  <tableStyleInfo name="TableStyleLight8"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4F7FD8-AE60-40C0-8CFB-5B88F1B804E6}" name="Top20Deb" displayName="Top20Deb" ref="B284:F305" totalsRowCount="1" headerRowDxfId="194" dataDxfId="193">
  <tableColumns count="5">
    <tableColumn id="1" xr3:uid="{E3D93EED-83ED-4279-A444-368A1A6030F5}" name="Top 20 Borrowers" totalsRowLabel="Total" dataDxfId="192" totalsRowDxfId="191"/>
    <tableColumn id="2" xr3:uid="{598CFA9F-FA7E-4BF2-B840-104F356D6AFB}" name="Principal Outstanding Balance" totalsRowFunction="sum" dataDxfId="190" totalsRowDxfId="189">
      <calculatedColumnFormula>_xlfn.XLOOKUP(A285,INPUT_DATA!$CJ$4:$CJ$397,INPUT_DATA!$CL$4:$CL$397)</calculatedColumnFormula>
    </tableColumn>
    <tableColumn id="3" xr3:uid="{9A37EBB4-F320-448C-B3D3-E39B4A6E967E}" name="% of Total (Amount)" totalsRowFunction="sum" dataDxfId="188" totalsRowDxfId="187">
      <calculatedColumnFormula>Top20Deb[[#This Row],[Principal Outstanding Balance]]/$C$26</calculatedColumnFormula>
    </tableColumn>
    <tableColumn id="4" xr3:uid="{59D9B018-6D0D-47DA-AD1A-2A8BDD4F981E}" name="Nb of Loans" totalsRowFunction="sum" dataDxfId="186" totalsRowDxfId="185">
      <calculatedColumnFormula>_xlfn.XLOOKUP(A285,INPUT_DATA!$CJ$4:$CJ$397,INPUT_DATA!$CM$4:$CM$397)</calculatedColumnFormula>
    </tableColumn>
    <tableColumn id="5" xr3:uid="{4EC58449-0B5D-42FC-A94F-77D1605BFE94}" name="% of Total (Number)" totalsRowFunction="sum" dataDxfId="184" totalsRowDxfId="183">
      <calculatedColumnFormula>Top20Deb[[#This Row],[Nb of Loans]]/$C$28</calculatedColumnFormula>
    </tableColumn>
  </tableColumns>
  <tableStyleInfo name="TableStyleLight8"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5BCA19-3829-4D11-903B-D4461D15FCB2}" name="OriginalTermToMaturity29" displayName="OriginalTermToMaturity29" ref="B93:F101" totalsRowCount="1" headerRowDxfId="182" dataDxfId="181">
  <tableColumns count="5">
    <tableColumn id="1" xr3:uid="{E4153511-9873-43A9-8271-B222B6934826}" name="Bucket Original Term to Maturity (in Months)" totalsRowLabel="Total" dataDxfId="180" totalsRowDxfId="179"/>
    <tableColumn id="2" xr3:uid="{36F957E4-42E3-4E0B-9E97-6C62B9A4A481}" name="Principal Outstanding Balance" totalsRowFunction="sum" dataDxfId="178" totalsRowDxfId="177">
      <calculatedColumnFormula>_xlfn.XLOOKUP(A94,INPUT_DATA!$CJ$4:$CJ$397,INPUT_DATA!$CL$4:$CL$397)</calculatedColumnFormula>
    </tableColumn>
    <tableColumn id="3" xr3:uid="{C1A34C79-0513-4338-A3A5-BD8FB0A00E5B}" name="% of Total (Amount)" totalsRowFunction="sum" dataDxfId="176" totalsRowDxfId="175">
      <calculatedColumnFormula>OriginalTermToMaturity29[[#This Row],[Principal Outstanding Balance]]/OriginalTermToMaturity29[[#Totals],[Principal Outstanding Balance]]</calculatedColumnFormula>
    </tableColumn>
    <tableColumn id="4" xr3:uid="{DF9E19E4-0035-4D50-B515-D9AF9E443603}" name="Nb of Loans" totalsRowFunction="sum" dataDxfId="174" totalsRowDxfId="173">
      <calculatedColumnFormula>_xlfn.XLOOKUP(A94,INPUT_DATA!$CJ$4:$CJ$397,INPUT_DATA!$CM$4:$CM$397)</calculatedColumnFormula>
    </tableColumn>
    <tableColumn id="5" xr3:uid="{EE032BB3-BC31-4EBA-9323-CC5C52908FC5}" name="% of Total (Number)" totalsRowFunction="sum" dataDxfId="172" totalsRowDxfId="171">
      <calculatedColumnFormula>OriginalTermToMaturity29[[#This Row],[Nb of Loans]]/OriginalTermToMaturity29[[#Totals],[Nb of Loans]]</calculatedColumnFormula>
    </tableColumn>
  </tableColumns>
  <tableStyleInfo name="TableStyleLight8"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3A2FAF-8382-4E06-A1AE-33192CA530AE}" name="GuaranteeProvider30" displayName="GuaranteeProvider30" ref="B160:F165" totalsRowCount="1" headerRowDxfId="170" dataDxfId="169">
  <tableColumns count="5">
    <tableColumn id="1" xr3:uid="{A6793177-DB9F-4483-8995-4CF60CD4FA85}" name="Guarantee Provider" totalsRowLabel="Total" dataDxfId="168" totalsRowDxfId="167"/>
    <tableColumn id="2" xr3:uid="{559155BF-D178-4090-872E-211F39D0BD5D}" name="Principal Outstanding Balance" totalsRowFunction="sum" dataDxfId="166" totalsRowDxfId="165">
      <calculatedColumnFormula>_xlfn.XLOOKUP(A161,INPUT_DATA!$CJ$4:$CJ$397,INPUT_DATA!$CL$4:$CL$397)</calculatedColumnFormula>
    </tableColumn>
    <tableColumn id="3" xr3:uid="{E4B2C660-5603-4013-896E-5BA743E2CD92}" name="% of Total (Amount)" totalsRowFunction="sum" dataDxfId="164" totalsRowDxfId="163">
      <calculatedColumnFormula>GuaranteeProvider30[[#This Row],[Principal Outstanding Balance]]/GuaranteeProvider30[[#Totals],[Principal Outstanding Balance]]</calculatedColumnFormula>
    </tableColumn>
    <tableColumn id="4" xr3:uid="{A5BD6A9F-C681-4041-B00C-281A964E18C6}" name="Nb of Loans" totalsRowFunction="sum" dataDxfId="162" totalsRowDxfId="161">
      <calculatedColumnFormula>_xlfn.XLOOKUP(A161,INPUT_DATA!$CJ$4:$CJ$397,INPUT_DATA!$CM$4:$CM$397)</calculatedColumnFormula>
    </tableColumn>
    <tableColumn id="5" xr3:uid="{EC4F5082-D030-43AE-8343-70416DEEED51}" name="% of Total (Number)" totalsRowFunction="sum" dataDxfId="160" totalsRowDxfId="159">
      <calculatedColumnFormula>GuaranteeProvider30[[#This Row],[Nb of Loans]]/GuaranteeProvider30[[#Totals],[Nb of Loans]]</calculatedColumnFormula>
    </tableColumn>
  </tableColumns>
  <tableStyleInfo name="TableStyleLight8"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ABD7ACD-EF25-4987-9104-777D52CEEAE7}" name="OriginalLoanToValue173132" displayName="OriginalLoanToValue173132" ref="B169:F181" totalsRowCount="1" headerRowDxfId="158" dataDxfId="157">
  <tableColumns count="5">
    <tableColumn id="1" xr3:uid="{29EF9593-63B9-49A6-93D4-37A32227DD6F}" name="Bucket Original Loan-to-Value" totalsRowLabel="Total" dataDxfId="156" totalsRowDxfId="155"/>
    <tableColumn id="2" xr3:uid="{7DA9B21D-9C0C-4577-BDE2-775E5712F633}" name="Principal Outstanding Balance" totalsRowFunction="sum" dataDxfId="154" totalsRowDxfId="153">
      <calculatedColumnFormula>_xlfn.XLOOKUP(A170,INPUT_DATA!$CJ$4:$CJ$397,INPUT_DATA!$CL$4:$CL$397)</calculatedColumnFormula>
    </tableColumn>
    <tableColumn id="3" xr3:uid="{4CB22038-C5DB-4E6D-B20F-9A3447FEA1CD}" name="% of Total (Amount)" totalsRowFunction="sum" dataDxfId="152" totalsRowDxfId="151">
      <calculatedColumnFormula>OriginalLoanToValue173132[[#This Row],[Principal Outstanding Balance]]/OriginalLoanToValue173132[[#Totals],[Principal Outstanding Balance]]</calculatedColumnFormula>
    </tableColumn>
    <tableColumn id="4" xr3:uid="{02AAA665-16A2-4B02-B411-2BCC563AD40B}" name="Nb of Loans" totalsRowFunction="sum" dataDxfId="150" totalsRowDxfId="149">
      <calculatedColumnFormula>_xlfn.XLOOKUP(A170,INPUT_DATA!$CJ$4:$CJ$397,INPUT_DATA!$CM$4:$CM$397)</calculatedColumnFormula>
    </tableColumn>
    <tableColumn id="5" xr3:uid="{D4E6AA0F-39E7-40E7-9931-1FC6651793DC}" name="% of Total (Number)" totalsRowFunction="sum" dataDxfId="148" totalsRowDxfId="147">
      <calculatedColumnFormula>OriginalLoanToValue173132[[#This Row],[Nb of Loans]]/OriginalLoanToValue173132[[#Totals],[Nb of Loans]]</calculatedColumnFormula>
    </tableColumn>
  </tableColumns>
  <tableStyleInfo name="TableStyleLight8"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13D36BD-1911-42B0-813D-90F55C993F53}" name="CurrentLoanToValueMortgage33" displayName="CurrentLoanToValueMortgage33" ref="B217:F229" totalsRowCount="1" headerRowDxfId="146" dataDxfId="145">
  <tableColumns count="5">
    <tableColumn id="1" xr3:uid="{C9EBEAF1-ABF8-404C-82DB-A061EE366410}" name="Bucket Current Loan-to-Value" totalsRowLabel="Total" dataDxfId="144" totalsRowDxfId="143"/>
    <tableColumn id="2" xr3:uid="{9D74F102-F272-4737-AC4A-27AF6F0F1513}" name="Principal Outstanding Balance" totalsRowFunction="sum" dataDxfId="142" totalsRowDxfId="141">
      <calculatedColumnFormula>_xlfn.XLOOKUP(A218,INPUT_DATA!$CJ$4:$CJ$397,INPUT_DATA!$CL$4:$CL$397)</calculatedColumnFormula>
    </tableColumn>
    <tableColumn id="3" xr3:uid="{9C9504D5-01D8-4CE1-9A01-401EE0207A0E}" name="% of Total (Amount)" totalsRowFunction="sum" dataDxfId="140" totalsRowDxfId="139">
      <calculatedColumnFormula>CurrentLoanToValueMortgage33[[#This Row],[Principal Outstanding Balance]]/CurrentLoanToValueMortgage33[[#Totals],[Principal Outstanding Balance]]</calculatedColumnFormula>
    </tableColumn>
    <tableColumn id="4" xr3:uid="{4D1725D6-9EB5-4830-BD46-E2C42441268A}" name="Nb of Loans" totalsRowFunction="sum" dataDxfId="138" totalsRowDxfId="137">
      <calculatedColumnFormula>_xlfn.XLOOKUP(A218,INPUT_DATA!$CJ$4:$CJ$397,INPUT_DATA!$CM$4:$CM$397)</calculatedColumnFormula>
    </tableColumn>
    <tableColumn id="5" xr3:uid="{20B4B10F-0BF0-4713-97F7-BFF6B8DBFECC}" name="% of Total (Number)" totalsRowFunction="sum" dataDxfId="136" totalsRowDxfId="135" dataCellStyle="Normal 6">
      <calculatedColumnFormula>CurrentLoanToValueMortgage33[[#This Row],[Nb of Loans]]/CurrentLoanToValueMortgage33[[#Totals],[Nb of Loans]]</calculatedColumnFormula>
    </tableColumn>
  </tableColumns>
  <tableStyleInfo name="TableStyleLight8"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5FBC4D4-B282-4C22-915D-76562E4711E4}" name="Purpose34" displayName="Purpose34" ref="B233:F245" totalsRowCount="1" headerRowDxfId="134" dataDxfId="133">
  <tableColumns count="5">
    <tableColumn id="1" xr3:uid="{08BDAE93-FDA6-4EAE-AFD4-BBFE8EAF1F64}" name="Breakdown by Purpose" totalsRowLabel="Total" dataDxfId="132" totalsRowDxfId="131"/>
    <tableColumn id="2" xr3:uid="{C8BE0CF3-1C74-4AD5-A137-31423C07E280}" name="Principal Outstanding Balance" totalsRowFunction="sum" dataDxfId="130" totalsRowDxfId="129">
      <calculatedColumnFormula>_xlfn.XLOOKUP(A234,INPUT_DATA!$CJ$4:$CJ$397,INPUT_DATA!$CL$4:$CL$397)</calculatedColumnFormula>
    </tableColumn>
    <tableColumn id="3" xr3:uid="{56265F89-CE63-46AE-84A8-0F60129075EA}" name="% of Total (Amount)" totalsRowFunction="sum" dataDxfId="128" totalsRowDxfId="127">
      <calculatedColumnFormula>Purpose34[[#This Row],[Principal Outstanding Balance]]/Purpose34[[#Totals],[Principal Outstanding Balance]]</calculatedColumnFormula>
    </tableColumn>
    <tableColumn id="4" xr3:uid="{7046084A-7108-4CB2-9172-16DD39ADF3B2}" name="Nb of Loans" totalsRowFunction="sum" dataDxfId="126" totalsRowDxfId="125">
      <calculatedColumnFormula>_xlfn.XLOOKUP(A234,INPUT_DATA!$CJ$4:$CJ$397,INPUT_DATA!$CM$4:$CM$397)</calculatedColumnFormula>
    </tableColumn>
    <tableColumn id="5" xr3:uid="{15C5469E-1DCF-443E-8069-727D97CD4FB6}" name="% of Total (Number)" totalsRowFunction="sum" dataDxfId="124" totalsRowDxfId="123">
      <calculatedColumnFormula>Purpose34[[#This Row],[Nb of Loans]]/Purpose34[[#Totals],[Nb of Loans]]</calculatedColumnFormula>
    </tableColumn>
  </tableColumns>
  <tableStyleInfo name="TableStyleLight8"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239F2E2-AF20-4CD9-AC4C-8F8E58735AD6}" name="PaymentFrequency35" displayName="PaymentFrequency35" ref="B259:F265" totalsRowCount="1" headerRowDxfId="122" dataDxfId="121">
  <tableColumns count="5">
    <tableColumn id="1" xr3:uid="{D105EB9F-BA85-4FC8-B72D-39F7954D8449}" name="Payment Frequency" totalsRowLabel="Total" dataDxfId="120" totalsRowDxfId="119"/>
    <tableColumn id="2" xr3:uid="{8506E8F7-A67F-4EB3-B27C-7BDD84AEF860}" name="Principal Outstanding Balance" totalsRowFunction="sum" dataDxfId="118" totalsRowDxfId="117">
      <calculatedColumnFormula>_xlfn.XLOOKUP(A260,INPUT_DATA!$CJ$4:$CJ$397,INPUT_DATA!$CL$4:$CL$397)</calculatedColumnFormula>
    </tableColumn>
    <tableColumn id="3" xr3:uid="{629E373D-76FA-4808-9128-2D7F619C99BC}" name="% of Total (Amount)" totalsRowFunction="sum" dataDxfId="116" totalsRowDxfId="115">
      <calculatedColumnFormula>PaymentFrequency35[[#This Row],[Principal Outstanding Balance]]/PaymentFrequency35[[#Totals],[Principal Outstanding Balance]]</calculatedColumnFormula>
    </tableColumn>
    <tableColumn id="4" xr3:uid="{301243B7-0361-4507-8CBE-44D01578395E}" name="Nb of Loans" totalsRowFunction="sum" dataDxfId="114" totalsRowDxfId="113">
      <calculatedColumnFormula>_xlfn.XLOOKUP(A260,INPUT_DATA!$CJ$4:$CJ$397,INPUT_DATA!$CM$4:$CM$397)</calculatedColumnFormula>
    </tableColumn>
    <tableColumn id="5" xr3:uid="{D0B43E84-B0B2-4542-AC16-A60E11B0BA87}" name="% of Total (Number)" totalsRowFunction="sum" dataDxfId="112" totalsRowDxfId="111">
      <calculatedColumnFormula>PaymentFrequency35[[#This Row],[Nb of Loans]]/PaymentFrequency35[[#Totals],[Nb of Loans]]</calculatedColumnFormula>
    </tableColumn>
  </tableColumns>
  <tableStyleInfo name="TableStyleLight8"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18A8797-0D3F-4103-B20E-063667A656E2}" name="EmploymentType36" displayName="EmploymentType36" ref="B269:F280" totalsRowCount="1" headerRowDxfId="110" dataDxfId="109">
  <tableColumns count="5">
    <tableColumn id="1" xr3:uid="{40F3CDAD-9E71-488E-9DC4-8D84DD40226A}" name="Employment Type" totalsRowLabel="Total" dataDxfId="108" totalsRowDxfId="107"/>
    <tableColumn id="2" xr3:uid="{1335EFA7-0C84-4F06-BD2D-C4ACE39F91D8}" name="Principal Outstanding Balance" totalsRowFunction="sum" dataDxfId="106" totalsRowDxfId="105">
      <calculatedColumnFormula>_xlfn.XLOOKUP(A270,INPUT_DATA!$CJ$4:$CJ$397,INPUT_DATA!$CL$4:$CL$397)</calculatedColumnFormula>
    </tableColumn>
    <tableColumn id="3" xr3:uid="{0C5E3021-1F32-4B3A-8049-1E6E075B2322}" name="% of Total (Amount)" totalsRowFunction="sum" dataDxfId="104" totalsRowDxfId="103">
      <calculatedColumnFormula>EmploymentType36[[#This Row],[Principal Outstanding Balance]]/EmploymentType36[[#Totals],[Principal Outstanding Balance]]</calculatedColumnFormula>
    </tableColumn>
    <tableColumn id="4" xr3:uid="{362686FB-7430-44FE-8862-8AF82B5C4D23}" name="Nb of Borrowers" totalsRowFunction="sum" dataDxfId="102" totalsRowDxfId="101">
      <calculatedColumnFormula>_xlfn.XLOOKUP(A270,INPUT_DATA!$CJ$4:$CJ$397,INPUT_DATA!$CM$4:$CM$397)</calculatedColumnFormula>
    </tableColumn>
    <tableColumn id="5" xr3:uid="{99C36D28-5D6F-4FD4-AC48-BB41DA4B2C32}" name="% of Total (Number)" totalsRowFunction="sum" dataDxfId="100" totalsRowDxfId="99">
      <calculatedColumnFormula>EmploymentType36[[#This Row],[Nb of Borrowers]]/EmploymentType36[[#Totals],[Nb of Borrowers]]</calculatedColumnFormula>
    </tableColumn>
  </tableColumns>
  <tableStyleInfo name="TableStyleLight8"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94904AD-9CB0-4367-AD44-656EAB8FEBDC}" name="Top20Deb37" displayName="Top20Deb37" ref="B309:F412" totalsRowCount="1" headerRowDxfId="98" dataDxfId="97">
  <tableColumns count="5">
    <tableColumn id="1" xr3:uid="{A57C9DA8-8E28-409E-9F60-1B2EF3BCC767}" name="Top 20 Borrowers" totalsRowLabel="Total" dataDxfId="96" totalsRowDxfId="95"/>
    <tableColumn id="2" xr3:uid="{828C45F1-91E9-434F-8C5C-407417980E87}" name="Principal Outstanding Balance" totalsRowFunction="sum" dataDxfId="94" totalsRowDxfId="93">
      <calculatedColumnFormula>_xlfn.XLOOKUP(A310,INPUT_DATA!$CJ$4:$CJ$397,INPUT_DATA!$CL$4:$CL$397)</calculatedColumnFormula>
    </tableColumn>
    <tableColumn id="3" xr3:uid="{8FF2CFFA-22E5-4B2F-813C-E5F6889EBFEF}" name="% of Total (Amount)" totalsRowFunction="sum" dataDxfId="92" totalsRowDxfId="91">
      <calculatedColumnFormula>Top20Deb37[[#This Row],[Principal Outstanding Balance]]/Top20Deb37[[#Totals],[Principal Outstanding Balance]]</calculatedColumnFormula>
    </tableColumn>
    <tableColumn id="4" xr3:uid="{5C6D697B-2D10-4741-A6FE-D7DA92D8CEAE}" name="Nb of Loans" totalsRowFunction="sum" dataDxfId="90" totalsRowDxfId="89">
      <calculatedColumnFormula>_xlfn.XLOOKUP(A310,INPUT_DATA!$CJ$4:$CJ$397,INPUT_DATA!$CM$4:$CM$397)</calculatedColumnFormula>
    </tableColumn>
    <tableColumn id="5" xr3:uid="{CD502234-44DE-4142-BC57-0B6F885FD122}" name="% of Total (Number)" totalsRowFunction="sum" dataDxfId="88" totalsRowDxfId="87">
      <calculatedColumnFormula>Top20Deb37[[#This Row],[Nb of Loans]]/Top20Deb37[[#Totals],[Nb of Loans]]</calculatedColumn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DA5BC-FD38-43CD-8981-A403F5ECB479}" name="PrincipalOOriginalBalance6" displayName="PrincipalOOriginalBalance6" ref="B58:G67" totalsRowCount="1" headerRowDxfId="304" dataDxfId="303">
  <tableColumns count="6">
    <tableColumn id="1" xr3:uid="{2D70ACD1-0114-4279-A5B6-B0C81DBB8CED}" name="Bucket Principal Original Balance" totalsRowLabel="Total" dataDxfId="302" totalsRowDxfId="301"/>
    <tableColumn id="2" xr3:uid="{E800588E-1293-427C-8DCD-F9F6B515A083}" name="Principal Outstanding Balance" totalsRowFunction="sum" dataDxfId="300" totalsRowDxfId="299">
      <calculatedColumnFormula>_xlfn.XLOOKUP(A59,INPUT_DATA!$CJ$4:$CJ$397,INPUT_DATA!$CL$4:$CL$397)</calculatedColumnFormula>
    </tableColumn>
    <tableColumn id="3" xr3:uid="{5B22C866-B5B4-4B26-9801-C0AE380FCF81}" name="% of Total (Amount)" totalsRowFunction="sum" dataDxfId="298" totalsRowDxfId="297" dataCellStyle="Normal 6">
      <calculatedColumnFormula>PrincipalOOriginalBalance6[[#This Row],[Principal Outstanding Balance]]/PrincipalOOriginalBalance6[[#Totals],[Principal Outstanding Balance]]</calculatedColumnFormula>
    </tableColumn>
    <tableColumn id="4" xr3:uid="{27886BAA-A11D-4994-87AA-050132F6C922}" name="Nb of Loans" totalsRowFunction="sum" dataDxfId="296" totalsRowDxfId="295">
      <calculatedColumnFormula>_xlfn.XLOOKUP(A59,INPUT_DATA!$CJ$4:$CJ$397,INPUT_DATA!$CM$4:$CM$397)</calculatedColumnFormula>
    </tableColumn>
    <tableColumn id="5" xr3:uid="{7C0324CC-801E-42F0-BD7F-02A8485294C0}" name="% of Total (Number)" totalsRowFunction="sum" dataDxfId="294" totalsRowDxfId="293">
      <calculatedColumnFormula>PrincipalOOriginalBalance6[[#This Row],[Nb of Loans]]/PrincipalOOriginalBalance6[[#Totals],[Nb of Loans]]</calculatedColumnFormula>
    </tableColumn>
    <tableColumn id="6" xr3:uid="{110CC5DD-D767-4D8D-B59F-19246F3A9C1C}" name="Principal Original Balance" totalsRowFunction="sum" dataDxfId="292" totalsRowDxfId="291" dataCellStyle="Normal 6">
      <calculatedColumnFormula>_xlfn.XLOOKUP(A59,INPUT_DATA!$CJ$4:$CJ$397,INPUT_DATA!$CN$4:$CN$397)</calculatedColumnFormula>
    </tableColumn>
  </tableColumns>
  <tableStyleInfo name="TableStyleLight8"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44DFBED-1FA5-4378-8789-3476F619CD71}" name="Top20Deb3738" displayName="Top20Deb3738" ref="B416:F519" totalsRowCount="1" headerRowDxfId="86" dataDxfId="85">
  <tableColumns count="5">
    <tableColumn id="1" xr3:uid="{DAEC3F2E-AB99-412E-AA21-3B6F17ECBD1C}" name="Top 20 Borrowers" totalsRowLabel="Total" dataDxfId="84" totalsRowDxfId="83"/>
    <tableColumn id="2" xr3:uid="{9EBF1F30-5E2C-41EF-B626-0CED7AC00D7E}" name="Principal Outstanding Balance" totalsRowFunction="sum" dataDxfId="82" totalsRowDxfId="81">
      <calculatedColumnFormula>_xlfn.XLOOKUP(A417,INPUT_DATA!$CJ$4:$CJ$397,INPUT_DATA!$CL$4:$CL$397)</calculatedColumnFormula>
    </tableColumn>
    <tableColumn id="3" xr3:uid="{F4944FF1-58D9-4BC0-89C3-CF87095DE096}" name="% of Total (Amount)" totalsRowFunction="sum" dataDxfId="80" totalsRowDxfId="79">
      <calculatedColumnFormula>Top20Deb3738[[#This Row],[Principal Outstanding Balance]]/Top20Deb3738[[#Totals],[Principal Outstanding Balance]]</calculatedColumnFormula>
    </tableColumn>
    <tableColumn id="4" xr3:uid="{5513A8B3-8BE0-4035-8240-CD751E2449AF}" name="Nb of Loans" totalsRowFunction="sum" dataDxfId="78" totalsRowDxfId="77">
      <calculatedColumnFormula>_xlfn.XLOOKUP(A417,INPUT_DATA!$CJ$4:$CJ$397,INPUT_DATA!$CM$4:$CM$397)</calculatedColumnFormula>
    </tableColumn>
    <tableColumn id="5" xr3:uid="{580B9C5A-EF07-41C6-835C-4B39A15EB237}" name="% of Total (Number)" totalsRowFunction="sum" dataDxfId="76" totalsRowDxfId="75">
      <calculatedColumnFormula>Top20Deb3738[[#This Row],[Nb of Loans]]/Top20Deb3738[[#Totals],[Nb of Loans]]</calculatedColumnFormula>
    </tableColumn>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2B7CBB-A07A-4389-BE90-7F52AF9F06A4}" name="Seasonning" displayName="Seasonning" ref="B71:F78" totalsRowCount="1" headerRowDxfId="290" dataDxfId="289">
  <tableColumns count="5">
    <tableColumn id="1" xr3:uid="{697458D8-F796-410F-86E3-AC2BEBA49D37}" name="Bucket Seasoning (in months)" totalsRowLabel="Total" dataDxfId="288" totalsRowDxfId="287"/>
    <tableColumn id="2" xr3:uid="{D7D2DF2A-9979-4AB4-8EA0-2FCDA499E98E}" name="Principal Outstanding Balance" totalsRowFunction="sum" dataDxfId="286" totalsRowDxfId="285">
      <calculatedColumnFormula>_xlfn.XLOOKUP(A72,INPUT_DATA!$CJ$4:$CJ$397,INPUT_DATA!$CL$4:$CL$397)</calculatedColumnFormula>
    </tableColumn>
    <tableColumn id="3" xr3:uid="{23CD5F0A-D158-416D-A052-81137AEAC260}" name="% of Total (Amount)" totalsRowFunction="sum" dataDxfId="284" totalsRowDxfId="283">
      <calculatedColumnFormula>Seasonning[[#This Row],[Principal Outstanding Balance]]/Seasonning[[#Totals],[Principal Outstanding Balance]]</calculatedColumnFormula>
    </tableColumn>
    <tableColumn id="4" xr3:uid="{53909829-892C-42EC-BB8E-5A5DE5171117}" name="Nb of Loans" totalsRowFunction="sum" dataDxfId="282" totalsRowDxfId="281">
      <calculatedColumnFormula>_xlfn.XLOOKUP(A72,INPUT_DATA!$CJ$4:$CJ$397,INPUT_DATA!$CM$4:$CM$397)</calculatedColumnFormula>
    </tableColumn>
    <tableColumn id="5" xr3:uid="{B7424B8C-211F-4B86-84D8-076436BA659B}" name="% of Total (Number)" totalsRowFunction="sum" dataDxfId="280" totalsRowDxfId="279">
      <calculatedColumnFormula>Seasonning[[#This Row],[Nb of Loans]]/Seasonning[[#Totals],[Nb of Loans]]</calculatedColumnFormula>
    </tableColumn>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4628A-BF67-43C2-AD5B-216153BDCBCE}" name="RemainingTermToMaturity" displayName="RemainingTermToMaturity" ref="B82:F89" totalsRowCount="1" headerRowDxfId="278" dataDxfId="277">
  <tableColumns count="5">
    <tableColumn id="1" xr3:uid="{462AAF5D-A3C5-4213-AA4F-7BA258E9F440}" name="Bucket Remaining Term to Maturity  (in months)" totalsRowLabel="Total" dataDxfId="276" totalsRowDxfId="275"/>
    <tableColumn id="2" xr3:uid="{DBF2B9E9-494D-4A6B-A995-B6757DA60FCE}" name="Principal Outstanding Balance" totalsRowFunction="sum" dataDxfId="274" totalsRowDxfId="273" dataCellStyle="Normal 6">
      <calculatedColumnFormula>_xlfn.XLOOKUP(A83,INPUT_DATA!$CJ$4:$CJ$397,INPUT_DATA!$CL$4:$CL$397)</calculatedColumnFormula>
    </tableColumn>
    <tableColumn id="3" xr3:uid="{57605ECF-7CEF-442E-ADF7-E6046A8265B7}" name="% of Total (Amount)" totalsRowFunction="sum" dataDxfId="272" totalsRowDxfId="271">
      <calculatedColumnFormula>RemainingTermToMaturity[[#This Row],[Principal Outstanding Balance]]/RemainingTermToMaturity[[#Totals],[Principal Outstanding Balance]]</calculatedColumnFormula>
    </tableColumn>
    <tableColumn id="4" xr3:uid="{D6CA75B7-924B-4A83-9EA9-BAA62064D4EC}" name="Nb of Loans" totalsRowFunction="sum" dataDxfId="270" totalsRowDxfId="269">
      <calculatedColumnFormula>_xlfn.XLOOKUP(A83,INPUT_DATA!$CJ$4:$CJ$397,INPUT_DATA!$CM$4:$CM$397)</calculatedColumnFormula>
    </tableColumn>
    <tableColumn id="5" xr3:uid="{1DFB4D39-F2FE-4164-B855-412BAA0F687A}" name="% of Total (Number)" totalsRowFunction="sum" dataDxfId="268" totalsRowDxfId="267">
      <calculatedColumnFormula>RemainingTermToMaturity[[#This Row],[Nb of Loans]]/RemainingTermToMaturity[[#Totals],[Nb of Loans]]</calculatedColumnFormula>
    </tableColumn>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0761B1-72DD-434B-AB19-9C1E702A09F2}" name="OriginationYear" displayName="OriginationYear" ref="B105:F127" totalsRowCount="1" headerRowDxfId="266" dataDxfId="265">
  <tableColumns count="5">
    <tableColumn id="1" xr3:uid="{9D96EA68-46C8-40A9-A066-84CD24576FAE}" name="Year of Origination" totalsRowLabel="Total" dataDxfId="264" totalsRowDxfId="263"/>
    <tableColumn id="2" xr3:uid="{FFFB8F08-A51A-482A-B7AE-0B05A0B76C14}" name="Principal Outstanding Balance" totalsRowFunction="sum" dataDxfId="262" totalsRowDxfId="261">
      <calculatedColumnFormula>_xlfn.XLOOKUP(A106,INPUT_DATA!$CJ$4:$CJ$397,INPUT_DATA!$CL$4:$CL$397)</calculatedColumnFormula>
    </tableColumn>
    <tableColumn id="3" xr3:uid="{881B5394-B19E-4096-8139-0273B6E6AD87}" name="% of Total (Amount)" totalsRowFunction="sum" dataDxfId="260" totalsRowDxfId="259">
      <calculatedColumnFormula>OriginationYear[[#This Row],[Principal Outstanding Balance]]/OriginationYear[[#Totals],[Principal Outstanding Balance]]</calculatedColumnFormula>
    </tableColumn>
    <tableColumn id="4" xr3:uid="{D013C588-C7B2-4D64-8D20-AA16F09216C8}" name="Nb of Loans" totalsRowFunction="sum" dataDxfId="258" totalsRowDxfId="257">
      <calculatedColumnFormula>_xlfn.XLOOKUP(A106,INPUT_DATA!$CJ$4:$CJ$397,INPUT_DATA!$CM$4:$CM$397)</calculatedColumnFormula>
    </tableColumn>
    <tableColumn id="5" xr3:uid="{41D4BDFC-D728-4B65-945A-07EC026F1E03}" name="% of Total (Number)" totalsRowFunction="sum" dataDxfId="256" totalsRowDxfId="255">
      <calculatedColumnFormula>OriginationYear[[#This Row],[Nb of Loans]]/OriginationYear[[#Totals],[Nb of Loans]]</calculatedColumnFormula>
    </tableColumn>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005B73-841F-4303-B789-C07872D82C52}" name="InterestRate" displayName="InterestRate" ref="B131:F138" totalsRowCount="1" headerRowDxfId="254" dataDxfId="253">
  <tableColumns count="5">
    <tableColumn id="1" xr3:uid="{506A1148-B701-465D-BB53-30A4D4F919EC}" name="Bucket Interest Rate" totalsRowLabel="Total" dataDxfId="252" totalsRowDxfId="251"/>
    <tableColumn id="2" xr3:uid="{D185CB07-DFEF-48C6-848C-554E10BD6736}" name="Principal Outstanding Balance" totalsRowFunction="sum" dataDxfId="250" totalsRowDxfId="249">
      <calculatedColumnFormula>_xlfn.XLOOKUP(A132,INPUT_DATA!$CJ$4:$CJ$397,INPUT_DATA!$CL$4:$CL$397)</calculatedColumnFormula>
    </tableColumn>
    <tableColumn id="3" xr3:uid="{53431B9F-F733-4FE2-9A55-27CB35E3EC88}" name="% of Total (Amount)" totalsRowFunction="sum" dataDxfId="248" totalsRowDxfId="247">
      <calculatedColumnFormula>InterestRate[[#This Row],[Principal Outstanding Balance]]/InterestRate[[#Totals],[Principal Outstanding Balance]]</calculatedColumnFormula>
    </tableColumn>
    <tableColumn id="4" xr3:uid="{0A8543C3-CDA1-4E21-9C77-ECC01D10B7C8}" name="Nb of Loans" totalsRowFunction="sum" dataDxfId="246" totalsRowDxfId="245">
      <calculatedColumnFormula>_xlfn.XLOOKUP(A132,INPUT_DATA!$CJ$4:$CJ$397,INPUT_DATA!$CM$4:$CM$397)</calculatedColumnFormula>
    </tableColumn>
    <tableColumn id="5" xr3:uid="{4BC7EDB8-87BA-420A-ADEB-7869DC9EC0BE}" name="% of Total (Number)" totalsRowFunction="sum" dataDxfId="244" totalsRowDxfId="243">
      <calculatedColumnFormula>InterestRate[[#This Row],[Nb of Loans]]/InterestRate[[#Totals],[Nb of Loans]]</calculatedColumnFormula>
    </tableColumn>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A0E652-98F2-4366-A5C1-92CB157EB249}" name="InterestRateType" displayName="InterestRateType" ref="B142:F156" totalsRowCount="1" headerRowDxfId="242" dataDxfId="241">
  <tableColumns count="5">
    <tableColumn id="1" xr3:uid="{1C723A5F-BBB5-41C7-8254-0892ED5EF25B}" name="Interest Rate Type" totalsRowLabel="Total" dataDxfId="240" totalsRowDxfId="239"/>
    <tableColumn id="2" xr3:uid="{4311D5AD-3DA5-40F7-AAF5-6DCECA539FFE}" name="Principal Outstanding Balance" totalsRowFunction="sum" dataDxfId="238" totalsRowDxfId="237">
      <calculatedColumnFormula>_xlfn.XLOOKUP(A143,INPUT_DATA!$CJ$4:$CJ$397,INPUT_DATA!$CL$4:$CL$397)</calculatedColumnFormula>
    </tableColumn>
    <tableColumn id="3" xr3:uid="{2A00E4F9-D3D7-4A4C-9F85-75E84956C89E}" name="% of Total (Amount)" totalsRowFunction="sum" dataDxfId="236" totalsRowDxfId="235">
      <calculatedColumnFormula>InterestRateType[[#This Row],[Principal Outstanding Balance]]/InterestRateType[[#Totals],[Principal Outstanding Balance]]</calculatedColumnFormula>
    </tableColumn>
    <tableColumn id="4" xr3:uid="{78DDCE14-E9E8-47FD-9EBD-302A71D1B8B6}" name="Nb of Loans" totalsRowFunction="sum" dataDxfId="234" totalsRowDxfId="233">
      <calculatedColumnFormula>_xlfn.XLOOKUP(A143,INPUT_DATA!$CJ$4:$CJ$397,INPUT_DATA!$CM$4:$CM$397)</calculatedColumnFormula>
    </tableColumn>
    <tableColumn id="5" xr3:uid="{4931395C-AEF2-4D58-B130-A02B21E7FB35}" name="% of Total (Number)" totalsRowFunction="sum" dataDxfId="232" totalsRowDxfId="231">
      <calculatedColumnFormula>InterestRateType[[#This Row],[Nb of Loans]]/InterestRateType[[#Totals],[Nb of Loans]]</calculatedColumnFormula>
    </tableColumn>
  </tableColumns>
  <tableStyleInfo name="TableStyleLight8"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4379B2-02CF-459A-8AF7-5014E4AAAD09}" name="CurrentLoanToValue" displayName="CurrentLoanToValue" ref="B185:F197" totalsRowCount="1" headerRowDxfId="230" dataDxfId="229">
  <tableColumns count="5">
    <tableColumn id="1" xr3:uid="{D4D4D080-2928-4994-806F-C44571B045D3}" name="Bucket Current Loan-to-Value" totalsRowLabel="Total" dataDxfId="228" totalsRowDxfId="227"/>
    <tableColumn id="2" xr3:uid="{5C20BD2B-73EE-4159-9B16-44CFD34EBDF4}" name="Principal Outstanding Balance" totalsRowFunction="sum" dataDxfId="226" totalsRowDxfId="225">
      <calculatedColumnFormula>_xlfn.XLOOKUP(A186,INPUT_DATA!$CJ$4:$CJ$397,INPUT_DATA!$CL$4:$CL$397)</calculatedColumnFormula>
    </tableColumn>
    <tableColumn id="3" xr3:uid="{40EFBCEE-715E-40F5-952F-17AD798672CB}" name="% of Total (Amount)" totalsRowFunction="sum" dataDxfId="224" totalsRowDxfId="223">
      <calculatedColumnFormula>CurrentLoanToValue[[#This Row],[Principal Outstanding Balance]]/CurrentLoanToValue[[#Totals],[Principal Outstanding Balance]]</calculatedColumnFormula>
    </tableColumn>
    <tableColumn id="4" xr3:uid="{FC363D7B-F7E9-46AA-B54D-A40C6423A6B3}" name="Nb of Loans" totalsRowFunction="sum" dataDxfId="222" totalsRowDxfId="221">
      <calculatedColumnFormula>_xlfn.XLOOKUP(A186,INPUT_DATA!$CJ$4:$CJ$397,INPUT_DATA!$CM$4:$CM$397)</calculatedColumnFormula>
    </tableColumn>
    <tableColumn id="5" xr3:uid="{54F75B27-E58A-44D0-B1D2-DE16F703AFF6}" name="% of Total (Number)" totalsRowFunction="sum" dataDxfId="220" totalsRowDxfId="219">
      <calculatedColumnFormula>CurrentLoanToValue[[#This Row],[Nb of Loans]]/CurrentLoanToValue[[#Totals],[Nb of Loans]]</calculatedColumnFormula>
    </tableColumn>
  </tableColumns>
  <tableStyleInfo name="TableStyleLight8"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2BA8A8-9BBE-4890-920A-1EB1730D78DE}" name="CurrentLoanToValueMortgage" displayName="CurrentLoanToValueMortgage" ref="B201:F213" totalsRowCount="1" headerRowDxfId="218" dataDxfId="217">
  <tableColumns count="5">
    <tableColumn id="1" xr3:uid="{8EC506AD-9214-4756-87B2-D94D0DCAE89F}" name="Bucket Current Loan-to-Value" totalsRowLabel="Total" dataDxfId="216" totalsRowDxfId="215"/>
    <tableColumn id="2" xr3:uid="{6A8F3901-469B-4215-922C-9A3FB60F343A}" name="Principal Outstanding Balance" totalsRowFunction="sum" dataDxfId="214" totalsRowDxfId="213">
      <calculatedColumnFormula>_xlfn.XLOOKUP(A202,INPUT_DATA!$CJ$4:$CJ$397,INPUT_DATA!$CL$4:$CL$397)</calculatedColumnFormula>
    </tableColumn>
    <tableColumn id="3" xr3:uid="{EBF53F69-33DB-4CD1-9D2E-998B201EEF3D}" name="% of Total (Amount)" totalsRowFunction="sum" dataDxfId="212" totalsRowDxfId="211">
      <calculatedColumnFormula>CurrentLoanToValueMortgage[[#This Row],[Principal Outstanding Balance]]/CurrentLoanToValueMortgage[[#Totals],[Principal Outstanding Balance]]</calculatedColumnFormula>
    </tableColumn>
    <tableColumn id="4" xr3:uid="{7F393BCD-2728-43FC-B6A3-9DB360A6D681}" name="Nb of Loans" totalsRowFunction="sum" dataDxfId="210" totalsRowDxfId="209">
      <calculatedColumnFormula>_xlfn.XLOOKUP(A202,INPUT_DATA!$CJ$4:$CJ$397,INPUT_DATA!$CM$4:$CM$397)</calculatedColumnFormula>
    </tableColumn>
    <tableColumn id="5" xr3:uid="{638C4A53-29B4-4097-BBC9-21A983D90C88}" name="% of Total (Number)" totalsRowFunction="sum" dataDxfId="208" totalsRowDxfId="207">
      <calculatedColumnFormula>CurrentLoanToValueMortgage[[#This Row],[Nb of Loans]]/CurrentLoanToValueMortgage[[#Totals],[Nb of Loans]]</calculatedColumnFormula>
    </tableColumn>
  </tableColumns>
  <tableStyleInfo name="TableStyleLight8"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ctFrenchPrimeCash2023@iqeq.com" TargetMode="External"/><Relationship Id="rId2" Type="http://schemas.openxmlformats.org/officeDocument/2006/relationships/hyperlink" Target="mailto:hugo.lavayssiere@iqeq.com" TargetMode="External"/><Relationship Id="rId1" Type="http://schemas.openxmlformats.org/officeDocument/2006/relationships/hyperlink" Target="mailto:omar.ghannam@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imitri.bellaiche@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8.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9.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2:L49"/>
  <sheetViews>
    <sheetView showGridLines="0" view="pageBreakPreview" topLeftCell="A2" zoomScale="80" zoomScaleNormal="68" zoomScaleSheetLayoutView="80" workbookViewId="0">
      <selection activeCell="K21" sqref="K21"/>
    </sheetView>
  </sheetViews>
  <sheetFormatPr defaultColWidth="11.42578125" defaultRowHeight="15" x14ac:dyDescent="0.25"/>
  <cols>
    <col min="1" max="1" width="2.140625" style="8" customWidth="1"/>
    <col min="2" max="2" width="7.42578125" style="8" customWidth="1"/>
    <col min="3" max="3" width="53.5703125" style="8" customWidth="1"/>
    <col min="4" max="4" width="1.85546875" style="8" customWidth="1"/>
    <col min="5" max="5" width="2.42578125" style="8" customWidth="1"/>
    <col min="6" max="6" width="33.85546875" style="8" customWidth="1"/>
    <col min="7" max="7" width="4.5703125" style="8" customWidth="1"/>
    <col min="8" max="8" width="6.85546875" style="8" customWidth="1"/>
    <col min="9" max="9" width="6.42578125" style="8" customWidth="1"/>
    <col min="10" max="10" width="6.140625" style="8" customWidth="1"/>
    <col min="11" max="11" width="8.42578125" style="8" customWidth="1"/>
    <col min="12" max="16384" width="11.42578125" style="8"/>
  </cols>
  <sheetData>
    <row r="2" spans="2:8" x14ac:dyDescent="0.25">
      <c r="B2" s="11"/>
      <c r="C2" s="11"/>
      <c r="D2" s="11"/>
      <c r="E2" s="11"/>
      <c r="F2" s="11"/>
      <c r="G2" s="11"/>
      <c r="H2" s="11"/>
    </row>
    <row r="3" spans="2:8" x14ac:dyDescent="0.25">
      <c r="B3" s="11"/>
      <c r="C3" s="11"/>
      <c r="D3" s="11"/>
      <c r="F3" s="11"/>
      <c r="G3" s="11"/>
      <c r="H3" s="11"/>
    </row>
    <row r="4" spans="2:8" x14ac:dyDescent="0.25">
      <c r="B4" s="11"/>
      <c r="C4" s="11"/>
      <c r="D4" s="11"/>
      <c r="E4" s="11"/>
      <c r="F4"/>
      <c r="G4" s="11"/>
      <c r="H4" s="11"/>
    </row>
    <row r="5" spans="2:8" x14ac:dyDescent="0.25">
      <c r="B5" s="11"/>
      <c r="C5" s="11"/>
      <c r="D5" s="11"/>
      <c r="E5" s="11"/>
      <c r="F5" s="11"/>
      <c r="G5" s="11"/>
      <c r="H5" s="12"/>
    </row>
    <row r="6" spans="2:8" x14ac:dyDescent="0.25">
      <c r="B6" s="11"/>
      <c r="C6" s="11"/>
      <c r="D6" s="11"/>
      <c r="F6" s="11"/>
      <c r="G6" s="11"/>
      <c r="H6" s="12"/>
    </row>
    <row r="7" spans="2:8" x14ac:dyDescent="0.25">
      <c r="B7" s="11"/>
      <c r="C7" s="11"/>
      <c r="D7" s="11"/>
      <c r="E7" s="11"/>
      <c r="F7" s="11"/>
      <c r="G7" s="11"/>
      <c r="H7" s="12"/>
    </row>
    <row r="8" spans="2:8" ht="31.5" customHeight="1" x14ac:dyDescent="0.6">
      <c r="B8" s="13"/>
      <c r="C8" s="1072" t="s">
        <v>718</v>
      </c>
      <c r="D8" s="1072"/>
      <c r="E8" s="1072"/>
      <c r="F8" s="1072"/>
      <c r="G8" s="13"/>
      <c r="H8" s="12"/>
    </row>
    <row r="9" spans="2:8" ht="31.5" customHeight="1" x14ac:dyDescent="0.6">
      <c r="B9" s="13"/>
      <c r="C9" s="13"/>
      <c r="D9" s="13"/>
      <c r="E9" s="13"/>
      <c r="F9" s="13"/>
      <c r="G9" s="13"/>
      <c r="H9" s="12"/>
    </row>
    <row r="10" spans="2:8" ht="31.5" customHeight="1" x14ac:dyDescent="0.6">
      <c r="B10" s="13"/>
      <c r="C10" s="13"/>
      <c r="D10" s="13"/>
      <c r="E10" s="13"/>
      <c r="F10" s="13"/>
      <c r="G10" s="13"/>
      <c r="H10" s="12"/>
    </row>
    <row r="11" spans="2:8" ht="15" customHeight="1" x14ac:dyDescent="0.6">
      <c r="B11" s="13"/>
      <c r="C11" s="681" t="s">
        <v>1380</v>
      </c>
      <c r="D11" s="14"/>
      <c r="E11" s="14"/>
      <c r="F11" s="784" t="s">
        <v>1381</v>
      </c>
      <c r="G11" s="13"/>
      <c r="H11" s="12"/>
    </row>
    <row r="12" spans="2:8" ht="31.5" x14ac:dyDescent="0.6">
      <c r="B12" s="14"/>
      <c r="C12" s="14"/>
      <c r="D12" s="14"/>
      <c r="E12" s="14"/>
      <c r="F12" s="15"/>
      <c r="G12" s="14"/>
      <c r="H12" s="16"/>
    </row>
    <row r="13" spans="2:8" ht="12.75" customHeight="1" x14ac:dyDescent="0.6">
      <c r="C13" s="681" t="s">
        <v>90</v>
      </c>
      <c r="D13" s="14"/>
      <c r="E13" s="14"/>
      <c r="F13" s="784">
        <f>_xlfn.XLOOKUP(F14,'17 - Calendar'!$E$36:$E$108,'17 - Calendar'!$D$36:$D$108,,0)</f>
        <v>45474</v>
      </c>
      <c r="G13" s="17"/>
    </row>
    <row r="14" spans="2:8" ht="12.75" customHeight="1" x14ac:dyDescent="0.6">
      <c r="C14" s="681" t="s">
        <v>91</v>
      </c>
      <c r="D14" s="14"/>
      <c r="E14" s="14"/>
      <c r="F14" s="784">
        <f>INPUT_DATA!A4</f>
        <v>45565</v>
      </c>
      <c r="G14" s="17"/>
    </row>
    <row r="15" spans="2:8" ht="12.75" customHeight="1" x14ac:dyDescent="0.6">
      <c r="C15" s="681" t="s">
        <v>655</v>
      </c>
      <c r="D15" s="14"/>
      <c r="E15" s="14"/>
      <c r="F15" s="784">
        <f>_xlfn.XLOOKUP(F14,'17 - Calendar'!$G$36:$G$108,'17 - Calendar'!$H$36:$H$108,,0)</f>
        <v>45580</v>
      </c>
      <c r="G15" s="17"/>
    </row>
    <row r="16" spans="2:8" ht="12.75" customHeight="1" x14ac:dyDescent="0.6">
      <c r="C16" s="681" t="s">
        <v>94</v>
      </c>
      <c r="D16" s="14"/>
      <c r="E16" s="14"/>
      <c r="F16" s="784">
        <f>_xlfn.XLOOKUP(F14,'17 - Calendar'!$E$36:$E$108,'17 - Calendar'!$I$36:$I$108,,0)</f>
        <v>45583</v>
      </c>
      <c r="G16" s="17"/>
    </row>
    <row r="17" spans="1:8" ht="12.75" customHeight="1" x14ac:dyDescent="0.6">
      <c r="C17" s="681" t="s">
        <v>87</v>
      </c>
      <c r="D17" s="14"/>
      <c r="E17" s="14"/>
      <c r="F17" s="784">
        <f>_xlfn.XLOOKUP(F14,'17 - Calendar'!$E$36:$E$108,'17 - Calendar'!$K$36:$K$108,,0)</f>
        <v>45590</v>
      </c>
      <c r="G17" s="17"/>
    </row>
    <row r="18" spans="1:8" ht="12.75" customHeight="1" x14ac:dyDescent="0.6">
      <c r="C18" s="850" t="s">
        <v>92</v>
      </c>
      <c r="D18" s="14"/>
      <c r="E18" s="14"/>
      <c r="F18" s="784">
        <f>_xlfn.XLOOKUP(F13-1,'17 - Calendar'!$E$36:$E$108,'17 - Calendar'!$K$36:$K$108,,0)</f>
        <v>45498</v>
      </c>
      <c r="G18" s="17"/>
    </row>
    <row r="19" spans="1:8" ht="12.75" customHeight="1" x14ac:dyDescent="0.6">
      <c r="C19" s="850" t="s">
        <v>676</v>
      </c>
      <c r="D19" s="14"/>
      <c r="E19" s="14"/>
      <c r="F19" s="784">
        <v>45268</v>
      </c>
      <c r="G19" s="17"/>
    </row>
    <row r="20" spans="1:8" ht="12.75" customHeight="1" x14ac:dyDescent="0.6">
      <c r="C20" s="681" t="s">
        <v>173</v>
      </c>
      <c r="D20" s="14"/>
      <c r="E20" s="14"/>
      <c r="F20" s="860" t="s">
        <v>1448</v>
      </c>
      <c r="G20" s="17"/>
    </row>
    <row r="21" spans="1:8" ht="15.75" x14ac:dyDescent="0.25">
      <c r="A21" s="784"/>
      <c r="B21" s="784"/>
      <c r="C21" s="784"/>
      <c r="D21" s="784"/>
      <c r="E21" s="784"/>
      <c r="F21" s="784"/>
      <c r="G21" s="18"/>
      <c r="H21" s="18"/>
    </row>
    <row r="22" spans="1:8" ht="31.5" x14ac:dyDescent="0.6">
      <c r="C22" s="349"/>
      <c r="D22" s="14"/>
      <c r="E22" s="14"/>
      <c r="F22" s="784"/>
      <c r="G22" s="18"/>
      <c r="H22" s="18"/>
    </row>
    <row r="23" spans="1:8" ht="24.75" customHeight="1" x14ac:dyDescent="0.25">
      <c r="C23" s="337" t="s">
        <v>93</v>
      </c>
      <c r="D23" s="170"/>
      <c r="E23" s="171"/>
      <c r="F23" s="19"/>
      <c r="G23" s="18"/>
      <c r="H23" s="18"/>
    </row>
    <row r="24" spans="1:8" ht="15.75" x14ac:dyDescent="0.25">
      <c r="C24" s="802" t="s">
        <v>1382</v>
      </c>
      <c r="D24" s="802"/>
      <c r="E24" s="802"/>
      <c r="F24" s="802"/>
      <c r="G24" s="18"/>
      <c r="H24" s="18"/>
    </row>
    <row r="25" spans="1:8" ht="15.75" x14ac:dyDescent="0.25">
      <c r="C25" s="802" t="s">
        <v>1383</v>
      </c>
      <c r="D25" s="802"/>
      <c r="E25" s="802"/>
      <c r="F25" s="802" t="s">
        <v>1429</v>
      </c>
      <c r="G25" s="18"/>
      <c r="H25" s="18"/>
    </row>
    <row r="26" spans="1:8" ht="15.75" x14ac:dyDescent="0.25">
      <c r="C26" s="802" t="s">
        <v>1384</v>
      </c>
      <c r="D26" s="802"/>
      <c r="E26" s="802"/>
      <c r="F26" s="802" t="s">
        <v>1430</v>
      </c>
      <c r="G26" s="18"/>
      <c r="H26" s="18"/>
    </row>
    <row r="27" spans="1:8" ht="15.75" x14ac:dyDescent="0.25">
      <c r="C27" s="802" t="s">
        <v>1385</v>
      </c>
      <c r="D27" s="802"/>
      <c r="E27" s="802"/>
      <c r="F27" s="802" t="s">
        <v>1431</v>
      </c>
      <c r="G27" s="18"/>
      <c r="H27" s="18"/>
    </row>
    <row r="28" spans="1:8" ht="15.75" x14ac:dyDescent="0.25">
      <c r="C28" s="802" t="s">
        <v>1425</v>
      </c>
      <c r="D28" s="802"/>
      <c r="E28" s="802"/>
      <c r="F28" s="802" t="s">
        <v>1432</v>
      </c>
      <c r="G28" s="18"/>
      <c r="H28" s="18"/>
    </row>
    <row r="29" spans="1:8" ht="15.75" x14ac:dyDescent="0.25">
      <c r="C29" s="802" t="s">
        <v>1386</v>
      </c>
      <c r="D29" s="802"/>
      <c r="E29" s="802"/>
      <c r="F29" s="802" t="s">
        <v>1433</v>
      </c>
      <c r="G29" s="18"/>
      <c r="H29" s="18"/>
    </row>
    <row r="30" spans="1:8" ht="15.75" x14ac:dyDescent="0.25">
      <c r="C30" s="802" t="s">
        <v>1387</v>
      </c>
      <c r="D30" s="802"/>
      <c r="E30" s="802"/>
      <c r="F30" s="802" t="s">
        <v>1434</v>
      </c>
      <c r="G30" s="18"/>
      <c r="H30" s="18"/>
    </row>
    <row r="31" spans="1:8" ht="15.75" x14ac:dyDescent="0.25">
      <c r="C31" s="802" t="s">
        <v>1426</v>
      </c>
      <c r="D31" s="802"/>
      <c r="E31" s="802"/>
      <c r="F31" s="802" t="s">
        <v>1388</v>
      </c>
      <c r="G31" s="18"/>
      <c r="H31" s="18"/>
    </row>
    <row r="32" spans="1:8" ht="17.25" customHeight="1" x14ac:dyDescent="0.25">
      <c r="C32" s="802" t="s">
        <v>1427</v>
      </c>
      <c r="D32" s="802"/>
      <c r="E32" s="802"/>
      <c r="F32" s="802" t="s">
        <v>1389</v>
      </c>
      <c r="G32" s="18"/>
      <c r="H32" s="18"/>
    </row>
    <row r="33" spans="3:12" ht="15.75" x14ac:dyDescent="0.25">
      <c r="C33" s="802" t="s">
        <v>1428</v>
      </c>
      <c r="D33" s="802"/>
      <c r="E33" s="802"/>
      <c r="F33" s="802" t="s">
        <v>1390</v>
      </c>
      <c r="G33" s="20"/>
      <c r="H33" s="18"/>
    </row>
    <row r="34" spans="3:12" ht="15.75" x14ac:dyDescent="0.25">
      <c r="C34" s="802"/>
      <c r="D34" s="802"/>
      <c r="E34" s="802"/>
      <c r="F34" s="802"/>
      <c r="G34" s="20"/>
      <c r="H34" s="18"/>
    </row>
    <row r="35" spans="3:12" ht="24.75" customHeight="1" x14ac:dyDescent="0.25">
      <c r="C35" s="337" t="s">
        <v>21</v>
      </c>
      <c r="D35" s="170"/>
      <c r="E35" s="171"/>
      <c r="F35" s="19"/>
      <c r="G35" s="18"/>
      <c r="H35" s="18"/>
    </row>
    <row r="36" spans="3:12" ht="15.75" x14ac:dyDescent="0.25">
      <c r="C36" s="577" t="s">
        <v>249</v>
      </c>
      <c r="D36" s="18"/>
      <c r="E36" s="21"/>
      <c r="F36" s="22" t="s">
        <v>104</v>
      </c>
      <c r="G36" s="20"/>
      <c r="H36" s="18"/>
    </row>
    <row r="37" spans="3:12" ht="15.75" x14ac:dyDescent="0.25">
      <c r="C37" s="578" t="s">
        <v>693</v>
      </c>
      <c r="D37" s="18"/>
      <c r="E37" s="21"/>
      <c r="F37" s="22" t="s">
        <v>692</v>
      </c>
      <c r="G37" s="20"/>
      <c r="H37" s="18"/>
    </row>
    <row r="38" spans="3:12" ht="15.75" x14ac:dyDescent="0.25">
      <c r="C38" s="578" t="s">
        <v>250</v>
      </c>
      <c r="D38" s="18"/>
      <c r="E38" s="21"/>
      <c r="F38" s="22" t="s">
        <v>166</v>
      </c>
      <c r="G38" s="20"/>
      <c r="H38" s="18"/>
    </row>
    <row r="39" spans="3:12" ht="15.75" x14ac:dyDescent="0.25">
      <c r="C39" s="579" t="s">
        <v>251</v>
      </c>
      <c r="D39" s="18"/>
      <c r="E39" s="173"/>
      <c r="F39" s="174" t="s">
        <v>105</v>
      </c>
      <c r="G39" s="20"/>
      <c r="H39" s="18"/>
    </row>
    <row r="40" spans="3:12" ht="15.75" x14ac:dyDescent="0.25">
      <c r="C40" s="580" t="s">
        <v>250</v>
      </c>
      <c r="D40" s="18"/>
      <c r="E40" s="173"/>
      <c r="F40" s="174" t="s">
        <v>106</v>
      </c>
      <c r="G40" s="20"/>
      <c r="H40" s="18"/>
    </row>
    <row r="41" spans="3:12" ht="15.75" customHeight="1" x14ac:dyDescent="0.25">
      <c r="C41" s="579" t="s">
        <v>250</v>
      </c>
      <c r="D41" s="18"/>
      <c r="E41" s="168"/>
      <c r="F41" s="169" t="s">
        <v>109</v>
      </c>
      <c r="G41" s="23"/>
      <c r="H41" s="18"/>
    </row>
    <row r="42" spans="3:12" ht="15.75" x14ac:dyDescent="0.25">
      <c r="C42" s="23"/>
      <c r="D42" s="23"/>
      <c r="E42" s="23"/>
      <c r="F42" s="23"/>
      <c r="G42" s="23"/>
      <c r="H42" s="18"/>
    </row>
    <row r="43" spans="3:12" ht="15.75" x14ac:dyDescent="0.25">
      <c r="C43" s="18"/>
      <c r="D43" s="18"/>
      <c r="E43" s="23"/>
      <c r="F43" s="23"/>
      <c r="G43" s="23"/>
      <c r="H43" s="18"/>
    </row>
    <row r="44" spans="3:12" ht="15.75" x14ac:dyDescent="0.25">
      <c r="C44" s="337" t="s">
        <v>216</v>
      </c>
      <c r="E44" s="20"/>
      <c r="F44" s="20"/>
      <c r="G44" s="20"/>
      <c r="H44" s="18"/>
    </row>
    <row r="45" spans="3:12" ht="15.75" x14ac:dyDescent="0.25">
      <c r="C45" s="338" t="s">
        <v>5</v>
      </c>
      <c r="D45" s="24" t="s">
        <v>6</v>
      </c>
      <c r="E45" s="398" t="s">
        <v>254</v>
      </c>
      <c r="G45" s="339"/>
      <c r="H45" s="18"/>
    </row>
    <row r="46" spans="3:12" ht="24" customHeight="1" x14ac:dyDescent="0.25">
      <c r="C46" s="338" t="s">
        <v>7</v>
      </c>
      <c r="D46" s="24" t="s">
        <v>6</v>
      </c>
      <c r="E46" s="1075" t="s">
        <v>728</v>
      </c>
      <c r="F46" s="1075"/>
      <c r="G46" s="1075"/>
      <c r="H46" s="1075"/>
      <c r="I46" s="1075"/>
      <c r="J46" s="1075"/>
      <c r="K46" s="1075"/>
      <c r="L46" s="1075"/>
    </row>
    <row r="47" spans="3:12" ht="15.75" x14ac:dyDescent="0.25">
      <c r="C47" s="18"/>
      <c r="D47" s="340"/>
      <c r="E47" s="1073" t="s">
        <v>253</v>
      </c>
      <c r="F47" s="1074"/>
      <c r="G47" s="1074"/>
      <c r="H47" s="18"/>
    </row>
    <row r="48" spans="3:12" ht="15.75" x14ac:dyDescent="0.25">
      <c r="C48" s="18"/>
      <c r="D48" s="340"/>
      <c r="E48" s="1073" t="s">
        <v>252</v>
      </c>
      <c r="F48" s="1074"/>
      <c r="G48" s="1074"/>
      <c r="H48" s="18"/>
    </row>
    <row r="49" spans="3:8" ht="15.75" x14ac:dyDescent="0.25">
      <c r="C49" s="18"/>
      <c r="D49" s="340"/>
      <c r="E49" s="1073" t="s">
        <v>691</v>
      </c>
      <c r="F49" s="1074"/>
      <c r="G49" s="1074"/>
      <c r="H49" s="18"/>
    </row>
  </sheetData>
  <mergeCells count="5">
    <mergeCell ref="C8:F8"/>
    <mergeCell ref="E47:G47"/>
    <mergeCell ref="E48:G48"/>
    <mergeCell ref="E49:G49"/>
    <mergeCell ref="E46:L46"/>
  </mergeCells>
  <hyperlinks>
    <hyperlink ref="E47" r:id="rId1" xr:uid="{DE9DB5DA-1FD4-4370-8FAB-1B681B229AC1}"/>
    <hyperlink ref="E48" r:id="rId2" xr:uid="{1649A6B6-FCBB-4C0E-9556-40F12A7302CE}"/>
    <hyperlink ref="E45" r:id="rId3" xr:uid="{C84B16EE-AF88-483F-B3BE-F94C888DE3B9}"/>
    <hyperlink ref="E49" r:id="rId4" xr:uid="{2D591AC7-023E-491D-A3DF-CBD9ABC06A2E}"/>
    <hyperlink ref="C24" location="'00 - Cover'!Print_Area" display="00 - Cover" xr:uid="{D7BE8668-892A-4C99-8837-6186372D6BDF}"/>
    <hyperlink ref="C25" location="'01 - Summary'!Print_Area" display="01 - Summary" xr:uid="{834847EB-0941-4A7E-B16F-BD5BC806688F}"/>
    <hyperlink ref="C26" location="'02 - Eligibility Criteria'!Print_Area" display="02 - Eligibility Criteria" xr:uid="{9CC21F37-944B-4A9F-94FC-9FF44ECFD8CB}"/>
    <hyperlink ref="C27" location="'03 - Monthly Asset Follow up'!A1" display="03 - Monthly Asset Follow up" xr:uid="{355AFF22-EE47-420A-BA9A-D45E5550DD5A}"/>
    <hyperlink ref="C28" location="'04 - Monthly Collection'!A1" display="04 - Monthly Collection" xr:uid="{61DC2BE3-1F47-4ED0-BB8E-D389A3E1F06D}"/>
    <hyperlink ref="C29" location="'05 - Prepayment Rate'!A1" display="05 - Prepayment Rate" xr:uid="{C68F3BF8-F59A-4756-AD16-EBD34F8CC996}"/>
    <hyperlink ref="C30" location="'06 - Asset Amortisation Profile'!A1" display="06 - Asset Amortisation Profile" xr:uid="{C768D51F-B493-4610-8025-8621B337B805}"/>
    <hyperlink ref="C31" location="'07 - Breakdown Statistics'!A1" display="07 - Breakdown Statistics" xr:uid="{B007B927-9F10-435D-A92D-53D5F40FEC9D}"/>
    <hyperlink ref="C32" location="'08 - Delinquent Home Loans Stat'!A1" display="08 - Delinquent Home Loans Stat" xr:uid="{C775F2CD-53AF-40DE-90CC-211672A8F7A5}"/>
    <hyperlink ref="C33" location="'09 - Default &amp; Recovery Stat'!A1" display="09 - Default &amp; Recovery Stat" xr:uid="{5EAA01C0-17CD-4F9D-A9B0-8E482B90731B}"/>
    <hyperlink ref="F25" location="'10 -Principal Deficiency Ledger'!A1" display="10 -Principal Deficiency Ledger" xr:uid="{8E5C3542-5C6B-49AF-8139-2FAFCF766008}"/>
    <hyperlink ref="F26" location="'11 - Notes Follow-up'!A1" display="11 - Notes Follow-up" xr:uid="{B0E56420-325E-4B74-9251-C46F6339490A}"/>
    <hyperlink ref="F27" location="'12 - Notes Interest'!A1" display="12 - Notes Interest" xr:uid="{303E9B9A-C65B-4CFB-85E6-1E9FF0C0F0C3}"/>
    <hyperlink ref="F28" location="'13 - Issuer Account'!A1" display="13 - Issuer Account" xr:uid="{15C693E6-6511-4C49-8D1F-D6157078B88C}"/>
    <hyperlink ref="F29" location="'14 - Fees'!A1" display="14 - Fees" xr:uid="{22D7337B-375A-429B-B1A0-448260EA9501}"/>
    <hyperlink ref="F30" location="'15 - Priority of Payments'!A1" display="15 - Priority of Payments" xr:uid="{FEEA0CAA-CF64-4DD7-ADD5-ACEE2EF66A12}"/>
    <hyperlink ref="F31" location="'16 - Simplified Balance Sheet'!A1" display="16 - Simplified Balance Sheet" xr:uid="{F4573DCE-1B5A-4C2C-A791-B904F71DD393}"/>
    <hyperlink ref="F32" location="'17 - Calendar'!A1" display="17 - Calendar" xr:uid="{DF966AE5-31BC-4916-949D-97D4E6BF8682}"/>
    <hyperlink ref="F33" location="'18 - Event'!A1" display="18 - Event" xr:uid="{E2F0A717-9A9C-496E-A775-73969989C32A}"/>
  </hyperlinks>
  <pageMargins left="0.7" right="0.7" top="0.75" bottom="0.75" header="0.3" footer="0.3"/>
  <pageSetup paperSize="9" scale="53"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5377-5700-4BDE-9AE5-15EDA15BEABE}">
  <sheetPr>
    <tabColor theme="0" tint="-0.249977111117893"/>
  </sheetPr>
  <dimension ref="A1:O72"/>
  <sheetViews>
    <sheetView showGridLines="0" zoomScale="80" zoomScaleNormal="80" workbookViewId="0">
      <selection activeCell="H17" sqref="A16:H17"/>
    </sheetView>
  </sheetViews>
  <sheetFormatPr defaultColWidth="10.85546875" defaultRowHeight="15" x14ac:dyDescent="0.25"/>
  <cols>
    <col min="1" max="1" width="3.42578125" style="400" customWidth="1"/>
    <col min="2" max="4" width="20.140625" style="400" customWidth="1"/>
    <col min="5" max="10" width="23.5703125" style="400" customWidth="1"/>
    <col min="11" max="11" width="32.5703125" style="400" customWidth="1"/>
    <col min="12" max="12" width="34.140625" style="400" customWidth="1"/>
    <col min="13" max="13" width="26.85546875" style="400" customWidth="1"/>
    <col min="14" max="14" width="24.5703125" style="400" customWidth="1"/>
    <col min="15" max="15" width="23.140625" style="400" customWidth="1"/>
    <col min="16" max="16384" width="10.85546875" style="400"/>
  </cols>
  <sheetData>
    <row r="1" spans="1:15" x14ac:dyDescent="0.25">
      <c r="A1" s="104"/>
      <c r="B1" s="104"/>
      <c r="C1" s="104"/>
      <c r="D1" s="104"/>
      <c r="E1" s="104"/>
      <c r="F1" s="104"/>
      <c r="G1" s="104"/>
      <c r="H1" s="104"/>
      <c r="I1" s="104"/>
      <c r="J1" s="104"/>
      <c r="K1" s="104"/>
      <c r="L1" s="104"/>
      <c r="M1" s="104"/>
      <c r="N1" s="104"/>
    </row>
    <row r="2" spans="1:15" x14ac:dyDescent="0.25">
      <c r="A2" s="104"/>
      <c r="B2" s="106"/>
      <c r="C2" s="106"/>
      <c r="D2" s="106"/>
      <c r="E2" s="106"/>
      <c r="F2" s="106"/>
      <c r="G2" s="106"/>
      <c r="H2" s="106"/>
      <c r="I2" s="106"/>
      <c r="J2" s="106"/>
      <c r="M2" s="106"/>
      <c r="N2" s="106"/>
    </row>
    <row r="3" spans="1:15" ht="14.45" customHeight="1" x14ac:dyDescent="0.25">
      <c r="A3" s="104"/>
      <c r="B3" s="106"/>
      <c r="C3" s="106"/>
      <c r="D3" s="106"/>
      <c r="E3" s="106"/>
      <c r="F3" s="106"/>
      <c r="G3" s="106"/>
      <c r="H3" s="106"/>
      <c r="I3" s="144" t="s">
        <v>134</v>
      </c>
      <c r="J3" s="786">
        <f>'09 - Default &amp; Recovery Stat'!H3</f>
        <v>45583</v>
      </c>
      <c r="M3" s="105"/>
      <c r="N3" s="105"/>
      <c r="O3" s="105"/>
    </row>
    <row r="4" spans="1:15" ht="14.45" customHeight="1" x14ac:dyDescent="0.25">
      <c r="A4" s="104"/>
      <c r="B4" s="106"/>
      <c r="C4" s="106"/>
      <c r="D4" s="106"/>
      <c r="E4" s="106"/>
      <c r="F4" s="106"/>
      <c r="G4" s="106"/>
      <c r="H4" s="106"/>
      <c r="I4" s="144" t="s">
        <v>655</v>
      </c>
      <c r="J4" s="786">
        <f>'09 - Default &amp; Recovery Stat'!H4</f>
        <v>45580</v>
      </c>
      <c r="M4" s="105"/>
      <c r="N4" s="105"/>
      <c r="O4" s="105"/>
    </row>
    <row r="5" spans="1:15" ht="14.45" customHeight="1" x14ac:dyDescent="0.25">
      <c r="A5" s="104"/>
      <c r="B5" s="106"/>
      <c r="C5" s="106"/>
      <c r="D5" s="106"/>
      <c r="E5" s="106"/>
      <c r="F5" s="106"/>
      <c r="G5" s="106"/>
      <c r="H5" s="106"/>
      <c r="I5" s="144" t="s">
        <v>94</v>
      </c>
      <c r="J5" s="786">
        <f>'09 - Default &amp; Recovery Stat'!H5</f>
        <v>45583</v>
      </c>
      <c r="M5" s="105"/>
      <c r="N5" s="105"/>
      <c r="O5" s="105"/>
    </row>
    <row r="6" spans="1:15" ht="14.45" customHeight="1" x14ac:dyDescent="0.25">
      <c r="A6" s="104"/>
      <c r="B6" s="106"/>
      <c r="C6" s="106"/>
      <c r="D6" s="106"/>
      <c r="E6" s="106"/>
      <c r="F6" s="106"/>
      <c r="G6" s="106"/>
      <c r="H6" s="106"/>
      <c r="I6" s="144" t="s">
        <v>87</v>
      </c>
      <c r="J6" s="786">
        <f>'09 - Default &amp; Recovery Stat'!H6</f>
        <v>45590</v>
      </c>
      <c r="M6" s="106"/>
      <c r="N6" s="106"/>
      <c r="O6" s="106"/>
    </row>
    <row r="7" spans="1:15" x14ac:dyDescent="0.25">
      <c r="A7" s="104"/>
      <c r="B7" s="106"/>
      <c r="C7" s="106"/>
      <c r="D7" s="106"/>
      <c r="E7" s="106"/>
      <c r="F7" s="106"/>
      <c r="G7" s="106"/>
      <c r="H7" s="106"/>
      <c r="I7" s="106"/>
      <c r="J7" s="106"/>
      <c r="M7" s="106"/>
      <c r="N7" s="106"/>
    </row>
    <row r="8" spans="1:15" x14ac:dyDescent="0.25">
      <c r="A8" s="399"/>
    </row>
    <row r="9" spans="1:15" x14ac:dyDescent="0.25">
      <c r="B9" s="581" t="s">
        <v>553</v>
      </c>
      <c r="C9" s="790"/>
      <c r="D9" s="790"/>
      <c r="E9" s="630"/>
      <c r="F9" s="994"/>
      <c r="G9" s="631"/>
      <c r="H9" s="995"/>
      <c r="I9" s="631"/>
      <c r="J9" s="995"/>
      <c r="K9" s="631"/>
    </row>
    <row r="10" spans="1:15" x14ac:dyDescent="0.25">
      <c r="E10" s="414" t="s">
        <v>455</v>
      </c>
      <c r="F10" s="414"/>
      <c r="G10" s="414" t="s">
        <v>456</v>
      </c>
      <c r="H10" s="414"/>
      <c r="I10" s="414" t="s">
        <v>457</v>
      </c>
      <c r="J10" s="414"/>
      <c r="K10" s="414" t="s">
        <v>458</v>
      </c>
    </row>
    <row r="11" spans="1:15" ht="54.75" customHeight="1" thickBot="1" x14ac:dyDescent="0.3">
      <c r="B11" s="619" t="s">
        <v>95</v>
      </c>
      <c r="C11" s="586" t="s">
        <v>912</v>
      </c>
      <c r="D11" s="586" t="s">
        <v>2521</v>
      </c>
      <c r="E11" s="619" t="s">
        <v>910</v>
      </c>
      <c r="F11" s="586" t="s">
        <v>2522</v>
      </c>
      <c r="G11" s="619" t="s">
        <v>909</v>
      </c>
      <c r="H11" s="586" t="s">
        <v>2523</v>
      </c>
      <c r="I11" s="619" t="s">
        <v>911</v>
      </c>
      <c r="J11" s="586" t="s">
        <v>2524</v>
      </c>
      <c r="K11" s="619" t="s">
        <v>1506</v>
      </c>
      <c r="L11" s="619" t="s">
        <v>1504</v>
      </c>
      <c r="M11" s="619" t="s">
        <v>1505</v>
      </c>
      <c r="N11" s="619" t="s">
        <v>1507</v>
      </c>
      <c r="O11" s="619" t="s">
        <v>1508</v>
      </c>
    </row>
    <row r="12" spans="1:15" ht="15.75" thickTop="1" x14ac:dyDescent="0.25">
      <c r="A12" s="788"/>
      <c r="B12" s="779">
        <f>'03 - Monthly Asset Follow up'!B17</f>
        <v>45565</v>
      </c>
      <c r="C12" s="788">
        <f>IF($B12=0,"",_xlfn.XLOOKUP($B12,INPUT_DATA!$BQ:$BQ,INPUT_DATA!BR:BR))</f>
        <v>679782033.38999784</v>
      </c>
      <c r="D12" s="788">
        <f>IF($B12=0,"",_xlfn.XLOOKUP($B12,INPUT_DATA!$BQ:$BQ,INPUT_DATA!BS:BS))</f>
        <v>3635</v>
      </c>
      <c r="E12" s="788">
        <f>IF($B12=0,"",_xlfn.XLOOKUP($B12,INPUT_DATA!$BQ:$BQ,INPUT_DATA!BT:BT))</f>
        <v>2576919.5900000003</v>
      </c>
      <c r="F12" s="788">
        <f>IF($B12=0,"",_xlfn.XLOOKUP($B12,INPUT_DATA!$BQ:$BQ,INPUT_DATA!BU:BU))</f>
        <v>16</v>
      </c>
      <c r="G12" s="788">
        <f>IF($B12=0,"",_xlfn.XLOOKUP($B12,INPUT_DATA!$BQ:$BQ,INPUT_DATA!BV:BV))</f>
        <v>607623</v>
      </c>
      <c r="H12" s="788">
        <f>IF($B12=0,"",_xlfn.XLOOKUP($B12,INPUT_DATA!$BQ:$BQ,INPUT_DATA!BW:BW))</f>
        <v>9</v>
      </c>
      <c r="I12" s="788">
        <f>IF($B12=0,"",_xlfn.XLOOKUP($B12,INPUT_DATA!$BQ:$BQ,INPUT_DATA!BX:BX))</f>
        <v>0</v>
      </c>
      <c r="J12" s="788">
        <f>IF($B12=0,"",_xlfn.XLOOKUP($B12,INPUT_DATA!$BQ:$BQ,INPUT_DATA!BY:BY))</f>
        <v>0</v>
      </c>
      <c r="K12" s="788">
        <f>IF($B12=0,"",_xlfn.XLOOKUP($B12,INPUT_DATA!$BQ:$BQ,INPUT_DATA!CD:CD))</f>
        <v>0</v>
      </c>
      <c r="L12" s="788">
        <f>IF($B12=0,"",_xlfn.XLOOKUP($B12,INPUT_DATA!$BQ:$BQ,INPUT_DATA!CE:CE))</f>
        <v>0</v>
      </c>
      <c r="M12" s="788">
        <f>IF($B12=0,"",_xlfn.XLOOKUP($B12,INPUT_DATA!$BQ:$BQ,INPUT_DATA!CF:CF))</f>
        <v>3718449.59</v>
      </c>
      <c r="N12" s="788">
        <f>IF($B12=0,"",_xlfn.XLOOKUP($B12,INPUT_DATA!$BQ:$BQ,INPUT_DATA!CG:CG))</f>
        <v>0</v>
      </c>
      <c r="O12" s="788">
        <f>IF($B12=0,"",_xlfn.XLOOKUP($B12,INPUT_DATA!$BQ:$BQ,INPUT_DATA!CH:CH))</f>
        <v>0</v>
      </c>
    </row>
    <row r="13" spans="1:15" x14ac:dyDescent="0.25">
      <c r="B13" s="785">
        <f>'03 - Monthly Asset Follow up'!B18</f>
        <v>45535</v>
      </c>
      <c r="C13" s="417">
        <f>IF($B13=0,"",_xlfn.XLOOKUP($B13,INPUT_DATA!$BQ:$BQ,INPUT_DATA!BR:BR))</f>
        <v>685948666.13999975</v>
      </c>
      <c r="D13" s="417">
        <f>IF($B13=0,"",_xlfn.XLOOKUP($B13,INPUT_DATA!$BQ:$BQ,INPUT_DATA!BS:BS))</f>
        <v>3641</v>
      </c>
      <c r="E13" s="417">
        <f>IF($B13=0,"",_xlfn.XLOOKUP($B13,INPUT_DATA!$BQ:$BQ,INPUT_DATA!BT:BT))</f>
        <v>1927543.5699999998</v>
      </c>
      <c r="F13" s="417">
        <f>IF($B13=0,"",_xlfn.XLOOKUP($B13,INPUT_DATA!$BQ:$BQ,INPUT_DATA!BU:BU))</f>
        <v>11</v>
      </c>
      <c r="G13" s="417">
        <f>IF($B13=0,"",_xlfn.XLOOKUP($B13,INPUT_DATA!$BQ:$BQ,INPUT_DATA!BV:BV))</f>
        <v>716751.69</v>
      </c>
      <c r="H13" s="417">
        <f>IF($B13=0,"",_xlfn.XLOOKUP($B13,INPUT_DATA!$BQ:$BQ,INPUT_DATA!BW:BW))</f>
        <v>7</v>
      </c>
      <c r="I13" s="417">
        <f>IF($B13=0,"",_xlfn.XLOOKUP($B13,INPUT_DATA!$BQ:$BQ,INPUT_DATA!BX:BX))</f>
        <v>1181.3</v>
      </c>
      <c r="J13" s="417">
        <f>IF($B13=0,"",_xlfn.XLOOKUP($B13,INPUT_DATA!$BQ:$BQ,INPUT_DATA!BY:BY))</f>
        <v>1</v>
      </c>
      <c r="K13" s="789">
        <f>IF($B13=0,"",_xlfn.XLOOKUP($B13,INPUT_DATA!$BQ:$BQ,INPUT_DATA!CD:CD))</f>
        <v>0</v>
      </c>
      <c r="L13" s="789">
        <f>IF($B13=0,"",_xlfn.XLOOKUP($B13,INPUT_DATA!$BQ:$BQ,INPUT_DATA!CE:CE))</f>
        <v>0</v>
      </c>
      <c r="M13" s="789">
        <f>IF($B13=0,"",_xlfn.XLOOKUP($B13,INPUT_DATA!$BQ:$BQ,INPUT_DATA!CF:CF))</f>
        <v>3724886.27</v>
      </c>
      <c r="N13" s="789">
        <f>IF($B13=0,"",_xlfn.XLOOKUP($B13,INPUT_DATA!$BQ:$BQ,INPUT_DATA!CG:CG))</f>
        <v>0</v>
      </c>
      <c r="O13" s="789">
        <f>IF($B13=0,"",_xlfn.XLOOKUP($B13,INPUT_DATA!$BQ:$BQ,INPUT_DATA!CH:CH))</f>
        <v>0</v>
      </c>
    </row>
    <row r="14" spans="1:15" x14ac:dyDescent="0.25">
      <c r="B14" s="785">
        <f>'03 - Monthly Asset Follow up'!B19</f>
        <v>45504</v>
      </c>
      <c r="C14" s="417">
        <f>IF($B14=0,"",_xlfn.XLOOKUP($B14,INPUT_DATA!$BQ:$BQ,INPUT_DATA!BR:BR))</f>
        <v>690082232.36000025</v>
      </c>
      <c r="D14" s="417">
        <f>IF($B14=0,"",_xlfn.XLOOKUP($B14,INPUT_DATA!$BQ:$BQ,INPUT_DATA!BS:BS))</f>
        <v>3627</v>
      </c>
      <c r="E14" s="417">
        <f>IF($B14=0,"",_xlfn.XLOOKUP($B14,INPUT_DATA!$BQ:$BQ,INPUT_DATA!BT:BT))</f>
        <v>5201616.7699999986</v>
      </c>
      <c r="F14" s="417">
        <f>IF($B14=0,"",_xlfn.XLOOKUP($B14,INPUT_DATA!$BQ:$BQ,INPUT_DATA!BU:BU))</f>
        <v>29</v>
      </c>
      <c r="G14" s="417">
        <f>IF($B14=0,"",_xlfn.XLOOKUP($B14,INPUT_DATA!$BQ:$BQ,INPUT_DATA!BV:BV))</f>
        <v>150051.77000000002</v>
      </c>
      <c r="H14" s="417">
        <f>IF($B14=0,"",_xlfn.XLOOKUP($B14,INPUT_DATA!$BQ:$BQ,INPUT_DATA!BW:BW))</f>
        <v>4</v>
      </c>
      <c r="I14" s="417">
        <f>IF($B14=0,"",_xlfn.XLOOKUP($B14,INPUT_DATA!$BQ:$BQ,INPUT_DATA!BX:BX))</f>
        <v>0</v>
      </c>
      <c r="J14" s="417">
        <f>IF($B14=0,"",_xlfn.XLOOKUP($B14,INPUT_DATA!$BQ:$BQ,INPUT_DATA!BY:BY))</f>
        <v>0</v>
      </c>
      <c r="K14" s="789">
        <f>IF($B14=0,"",_xlfn.XLOOKUP($B14,INPUT_DATA!$BQ:$BQ,INPUT_DATA!CD:CD))</f>
        <v>0</v>
      </c>
      <c r="L14" s="789">
        <f>IF($B14=0,"",_xlfn.XLOOKUP($B14,INPUT_DATA!$BQ:$BQ,INPUT_DATA!CE:CE))</f>
        <v>0</v>
      </c>
      <c r="M14" s="789">
        <f>IF($B14=0,"",_xlfn.XLOOKUP($B14,INPUT_DATA!$BQ:$BQ,INPUT_DATA!CF:CF))</f>
        <v>3724886.27</v>
      </c>
      <c r="N14" s="789">
        <f>IF($B14=0,"",_xlfn.XLOOKUP($B14,INPUT_DATA!$BQ:$BQ,INPUT_DATA!CG:CG))</f>
        <v>0</v>
      </c>
      <c r="O14" s="789">
        <f>IF($B14=0,"",_xlfn.XLOOKUP($B14,INPUT_DATA!$BQ:$BQ,INPUT_DATA!CH:CH))</f>
        <v>0</v>
      </c>
    </row>
    <row r="15" spans="1:15" x14ac:dyDescent="0.25">
      <c r="B15" s="785">
        <f>'03 - Monthly Asset Follow up'!B20</f>
        <v>45473</v>
      </c>
      <c r="C15" s="417">
        <f>IF($B15=0,"",_xlfn.XLOOKUP($B15,INPUT_DATA!$BQ:$BQ,INPUT_DATA!BR:BR))</f>
        <v>698965879.67999971</v>
      </c>
      <c r="D15" s="417">
        <f>IF($B15=0,"",_xlfn.XLOOKUP($B15,INPUT_DATA!$BQ:$BQ,INPUT_DATA!BS:BS))</f>
        <v>3669</v>
      </c>
      <c r="E15" s="417">
        <f>IF($B15=0,"",_xlfn.XLOOKUP($B15,INPUT_DATA!$BQ:$BQ,INPUT_DATA!BT:BT))</f>
        <v>2195802.83</v>
      </c>
      <c r="F15" s="417">
        <f>IF($B15=0,"",_xlfn.XLOOKUP($B15,INPUT_DATA!$BQ:$BQ,INPUT_DATA!BU:BU))</f>
        <v>15</v>
      </c>
      <c r="G15" s="417">
        <f>IF($B15=0,"",_xlfn.XLOOKUP($B15,INPUT_DATA!$BQ:$BQ,INPUT_DATA!BV:BV))</f>
        <v>125580.36</v>
      </c>
      <c r="H15" s="417">
        <f>IF($B15=0,"",_xlfn.XLOOKUP($B15,INPUT_DATA!$BQ:$BQ,INPUT_DATA!BW:BW))</f>
        <v>3</v>
      </c>
      <c r="I15" s="417">
        <f>IF($B15=0,"",_xlfn.XLOOKUP($B15,INPUT_DATA!$BQ:$BQ,INPUT_DATA!BX:BX))</f>
        <v>0</v>
      </c>
      <c r="J15" s="417">
        <f>IF($B15=0,"",_xlfn.XLOOKUP($B15,INPUT_DATA!$BQ:$BQ,INPUT_DATA!BY:BY))</f>
        <v>1</v>
      </c>
      <c r="K15" s="789">
        <f>IF($B15=0,"",_xlfn.XLOOKUP($B15,INPUT_DATA!$BQ:$BQ,INPUT_DATA!CD:CD))</f>
        <v>0</v>
      </c>
      <c r="L15" s="789">
        <f>IF($B15=0,"",_xlfn.XLOOKUP($B15,INPUT_DATA!$BQ:$BQ,INPUT_DATA!CE:CE))</f>
        <v>399475.56</v>
      </c>
      <c r="M15" s="789">
        <f>IF($B15=0,"",_xlfn.XLOOKUP($B15,INPUT_DATA!$BQ:$BQ,INPUT_DATA!CF:CF))</f>
        <v>3369319.82</v>
      </c>
      <c r="N15" s="789">
        <f>IF($B15=0,"",_xlfn.XLOOKUP($B15,INPUT_DATA!$BQ:$BQ,INPUT_DATA!CG:CG))</f>
        <v>0</v>
      </c>
      <c r="O15" s="789">
        <f>IF($B15=0,"",_xlfn.XLOOKUP($B15,INPUT_DATA!$BQ:$BQ,INPUT_DATA!CH:CH))</f>
        <v>399475.56</v>
      </c>
    </row>
    <row r="16" spans="1:15" x14ac:dyDescent="0.25">
      <c r="B16" s="785">
        <f>'03 - Monthly Asset Follow up'!B21</f>
        <v>45443</v>
      </c>
      <c r="C16" s="417">
        <f>IF($B16=0,"",_xlfn.XLOOKUP($B16,INPUT_DATA!$BQ:$BQ,INPUT_DATA!BR:BR))</f>
        <v>702398532.93000031</v>
      </c>
      <c r="D16" s="417">
        <f>IF($B16=0,"",_xlfn.XLOOKUP($B16,INPUT_DATA!$BQ:$BQ,INPUT_DATA!BS:BS))</f>
        <v>3682</v>
      </c>
      <c r="E16" s="417">
        <f>IF($B16=0,"",_xlfn.XLOOKUP($B16,INPUT_DATA!$BQ:$BQ,INPUT_DATA!BT:BT))</f>
        <v>4355821.4400000004</v>
      </c>
      <c r="F16" s="417">
        <f>IF($B16=0,"",_xlfn.XLOOKUP($B16,INPUT_DATA!$BQ:$BQ,INPUT_DATA!BU:BU))</f>
        <v>22</v>
      </c>
      <c r="G16" s="417">
        <f>IF($B16=0,"",_xlfn.XLOOKUP($B16,INPUT_DATA!$BQ:$BQ,INPUT_DATA!BV:BV))</f>
        <v>87910.75</v>
      </c>
      <c r="H16" s="417">
        <f>IF($B16=0,"",_xlfn.XLOOKUP($B16,INPUT_DATA!$BQ:$BQ,INPUT_DATA!BW:BW))</f>
        <v>2</v>
      </c>
      <c r="I16" s="417">
        <f>IF($B16=0,"",_xlfn.XLOOKUP($B16,INPUT_DATA!$BQ:$BQ,INPUT_DATA!BX:BX))</f>
        <v>0</v>
      </c>
      <c r="J16" s="417">
        <f>IF($B16=0,"",_xlfn.XLOOKUP($B16,INPUT_DATA!$BQ:$BQ,INPUT_DATA!BY:BY))</f>
        <v>0</v>
      </c>
      <c r="K16" s="789">
        <f>IF($B16=0,"",_xlfn.XLOOKUP($B16,INPUT_DATA!$BQ:$BQ,INPUT_DATA!CD:CD))</f>
        <v>0</v>
      </c>
      <c r="L16" s="789">
        <f>IF($B16=0,"",_xlfn.XLOOKUP($B16,INPUT_DATA!$BQ:$BQ,INPUT_DATA!CE:CE))</f>
        <v>0</v>
      </c>
      <c r="M16" s="789">
        <f>IF($B16=0,"",_xlfn.XLOOKUP($B16,INPUT_DATA!$BQ:$BQ,INPUT_DATA!CF:CF))</f>
        <v>3775212.81</v>
      </c>
      <c r="N16" s="789">
        <f>IF($B16=0,"",_xlfn.XLOOKUP($B16,INPUT_DATA!$BQ:$BQ,INPUT_DATA!CG:CG))</f>
        <v>0</v>
      </c>
      <c r="O16" s="789">
        <f>IF($B16=0,"",_xlfn.XLOOKUP($B16,INPUT_DATA!$BQ:$BQ,INPUT_DATA!CH:CH))</f>
        <v>0</v>
      </c>
    </row>
    <row r="17" spans="2:15" x14ac:dyDescent="0.25">
      <c r="B17" s="785">
        <f>'03 - Monthly Asset Follow up'!B22</f>
        <v>45412</v>
      </c>
      <c r="C17" s="417">
        <f>IF($B17=0,"",_xlfn.XLOOKUP($B17,INPUT_DATA!$BQ:$BQ,INPUT_DATA!BR:BR))</f>
        <v>706600362.5200007</v>
      </c>
      <c r="D17" s="417">
        <f>IF($B17=0,"",_xlfn.XLOOKUP($B17,INPUT_DATA!$BQ:$BQ,INPUT_DATA!BS:BS))</f>
        <v>3697</v>
      </c>
      <c r="E17" s="417">
        <f>IF($B17=0,"",_xlfn.XLOOKUP($B17,INPUT_DATA!$BQ:$BQ,INPUT_DATA!BT:BT))</f>
        <v>5711069.3900000015</v>
      </c>
      <c r="F17" s="417">
        <f>IF($B17=0,"",_xlfn.XLOOKUP($B17,INPUT_DATA!$BQ:$BQ,INPUT_DATA!BU:BU))</f>
        <v>31</v>
      </c>
      <c r="G17" s="417">
        <f>IF($B17=0,"",_xlfn.XLOOKUP($B17,INPUT_DATA!$BQ:$BQ,INPUT_DATA!BV:BV))</f>
        <v>3382.05</v>
      </c>
      <c r="H17" s="417">
        <f>IF($B17=0,"",_xlfn.XLOOKUP($B17,INPUT_DATA!$BQ:$BQ,INPUT_DATA!BW:BW))</f>
        <v>1</v>
      </c>
      <c r="I17" s="417">
        <f>IF($B17=0,"",_xlfn.XLOOKUP($B17,INPUT_DATA!$BQ:$BQ,INPUT_DATA!BX:BX))</f>
        <v>0</v>
      </c>
      <c r="J17" s="417">
        <f>IF($B17=0,"",_xlfn.XLOOKUP($B17,INPUT_DATA!$BQ:$BQ,INPUT_DATA!BY:BY))</f>
        <v>0</v>
      </c>
      <c r="K17" s="789">
        <f>IF($B17=0,"",_xlfn.XLOOKUP($B17,INPUT_DATA!$BQ:$BQ,INPUT_DATA!CD:CD))</f>
        <v>0</v>
      </c>
      <c r="L17" s="789">
        <f>IF($B17=0,"",_xlfn.XLOOKUP($B17,INPUT_DATA!$BQ:$BQ,INPUT_DATA!CE:CE))</f>
        <v>0</v>
      </c>
      <c r="M17" s="789">
        <f>IF($B17=0,"",_xlfn.XLOOKUP($B17,INPUT_DATA!$BQ:$BQ,INPUT_DATA!CF:CF))</f>
        <v>3780146.77</v>
      </c>
      <c r="N17" s="789">
        <f>IF($B17=0,"",_xlfn.XLOOKUP($B17,INPUT_DATA!$BQ:$BQ,INPUT_DATA!CG:CG))</f>
        <v>0</v>
      </c>
      <c r="O17" s="789">
        <f>IF($B17=0,"",_xlfn.XLOOKUP($B17,INPUT_DATA!$BQ:$BQ,INPUT_DATA!CH:CH))</f>
        <v>0</v>
      </c>
    </row>
    <row r="18" spans="2:15" x14ac:dyDescent="0.25">
      <c r="B18" s="785">
        <f>'03 - Monthly Asset Follow up'!B23</f>
        <v>45382</v>
      </c>
      <c r="C18" s="417">
        <f>IF($B18=0,"",_xlfn.XLOOKUP($B18,INPUT_DATA!$BQ:$BQ,INPUT_DATA!BR:BR))</f>
        <v>714031765.05999994</v>
      </c>
      <c r="D18" s="417">
        <f>IF($B18=0,"",_xlfn.XLOOKUP($B18,INPUT_DATA!$BQ:$BQ,INPUT_DATA!BS:BS))</f>
        <v>3720</v>
      </c>
      <c r="E18" s="417">
        <f>IF($B18=0,"",_xlfn.XLOOKUP($B18,INPUT_DATA!$BQ:$BQ,INPUT_DATA!BT:BT))</f>
        <v>2648673.5900000003</v>
      </c>
      <c r="F18" s="417">
        <f>IF($B18=0,"",_xlfn.XLOOKUP($B18,INPUT_DATA!$BQ:$BQ,INPUT_DATA!BU:BU))</f>
        <v>19</v>
      </c>
      <c r="G18" s="417">
        <f>IF($B18=0,"",_xlfn.XLOOKUP($B18,INPUT_DATA!$BQ:$BQ,INPUT_DATA!BV:BV))</f>
        <v>998843.09</v>
      </c>
      <c r="H18" s="417">
        <f>IF($B18=0,"",_xlfn.XLOOKUP($B18,INPUT_DATA!$BQ:$BQ,INPUT_DATA!BW:BW))</f>
        <v>5</v>
      </c>
      <c r="I18" s="417">
        <f>IF($B18=0,"",_xlfn.XLOOKUP($B18,INPUT_DATA!$BQ:$BQ,INPUT_DATA!BX:BX))</f>
        <v>105122.68000000002</v>
      </c>
      <c r="J18" s="417">
        <f>IF($B18=0,"",_xlfn.XLOOKUP($B18,INPUT_DATA!$BQ:$BQ,INPUT_DATA!BY:BY))</f>
        <v>4</v>
      </c>
      <c r="K18" s="789">
        <f>IF($B18=0,"",_xlfn.XLOOKUP($B18,INPUT_DATA!$BQ:$BQ,INPUT_DATA!CD:CD))</f>
        <v>0</v>
      </c>
      <c r="L18" s="789">
        <f>IF($B18=0,"",_xlfn.XLOOKUP($B18,INPUT_DATA!$BQ:$BQ,INPUT_DATA!CE:CE))</f>
        <v>405892.99</v>
      </c>
      <c r="M18" s="789">
        <f>IF($B18=0,"",_xlfn.XLOOKUP($B18,INPUT_DATA!$BQ:$BQ,INPUT_DATA!CF:CF))</f>
        <v>3418102.59</v>
      </c>
      <c r="N18" s="789">
        <f>IF($B18=0,"",_xlfn.XLOOKUP($B18,INPUT_DATA!$BQ:$BQ,INPUT_DATA!CG:CG))</f>
        <v>0</v>
      </c>
      <c r="O18" s="789">
        <f>IF($B18=0,"",_xlfn.XLOOKUP($B18,INPUT_DATA!$BQ:$BQ,INPUT_DATA!CH:CH))</f>
        <v>405892.99</v>
      </c>
    </row>
    <row r="19" spans="2:15" x14ac:dyDescent="0.25">
      <c r="B19" s="785">
        <f>'03 - Monthly Asset Follow up'!B24</f>
        <v>45351</v>
      </c>
      <c r="C19" s="417">
        <f>IF($B19=0,"",_xlfn.XLOOKUP($B19,INPUT_DATA!$BQ:$BQ,INPUT_DATA!BR:BR))</f>
        <v>719723249.09000003</v>
      </c>
      <c r="D19" s="417">
        <f>IF($B19=0,"",_xlfn.XLOOKUP($B19,INPUT_DATA!$BQ:$BQ,INPUT_DATA!BS:BS))</f>
        <v>3739</v>
      </c>
      <c r="E19" s="417">
        <f>IF($B19=0,"",_xlfn.XLOOKUP($B19,INPUT_DATA!$BQ:$BQ,INPUT_DATA!BT:BT))</f>
        <v>3474341.62</v>
      </c>
      <c r="F19" s="417">
        <f>IF($B19=0,"",_xlfn.XLOOKUP($B19,INPUT_DATA!$BQ:$BQ,INPUT_DATA!BU:BU))</f>
        <v>19</v>
      </c>
      <c r="G19" s="417">
        <f>IF($B19=0,"",_xlfn.XLOOKUP($B19,INPUT_DATA!$BQ:$BQ,INPUT_DATA!BV:BV))</f>
        <v>709984.85</v>
      </c>
      <c r="H19" s="417">
        <f>IF($B19=0,"",_xlfn.XLOOKUP($B19,INPUT_DATA!$BQ:$BQ,INPUT_DATA!BW:BW))</f>
        <v>8</v>
      </c>
      <c r="I19" s="417">
        <f>IF($B19=0,"",_xlfn.XLOOKUP($B19,INPUT_DATA!$BQ:$BQ,INPUT_DATA!BX:BX))</f>
        <v>177091.55</v>
      </c>
      <c r="J19" s="417">
        <f>IF($B19=0,"",_xlfn.XLOOKUP($B19,INPUT_DATA!$BQ:$BQ,INPUT_DATA!BY:BY))</f>
        <v>2</v>
      </c>
      <c r="K19" s="789">
        <f>IF($B19=0,"",_xlfn.XLOOKUP($B19,INPUT_DATA!$BQ:$BQ,INPUT_DATA!CD:CD))</f>
        <v>0</v>
      </c>
      <c r="L19" s="789">
        <f>IF($B19=0,"",_xlfn.XLOOKUP($B19,INPUT_DATA!$BQ:$BQ,INPUT_DATA!CE:CE))</f>
        <v>0</v>
      </c>
      <c r="M19" s="789">
        <f>IF($B19=0,"",_xlfn.XLOOKUP($B19,INPUT_DATA!$BQ:$BQ,INPUT_DATA!CF:CF))</f>
        <v>3832111.27</v>
      </c>
      <c r="N19" s="789">
        <f>IF($B19=0,"",_xlfn.XLOOKUP($B19,INPUT_DATA!$BQ:$BQ,INPUT_DATA!CG:CG))</f>
        <v>0</v>
      </c>
      <c r="O19" s="789">
        <f>IF($B19=0,"",_xlfn.XLOOKUP($B19,INPUT_DATA!$BQ:$BQ,INPUT_DATA!CH:CH))</f>
        <v>0</v>
      </c>
    </row>
    <row r="20" spans="2:15" x14ac:dyDescent="0.25">
      <c r="B20" s="785">
        <f>'03 - Monthly Asset Follow up'!B25</f>
        <v>45322</v>
      </c>
      <c r="C20" s="417">
        <f>IF($B20=0,"",_xlfn.XLOOKUP($B20,INPUT_DATA!$BQ:$BQ,INPUT_DATA!BR:BR))</f>
        <v>726618592.59000003</v>
      </c>
      <c r="D20" s="417">
        <f>IF($B20=0,"",_xlfn.XLOOKUP($B20,INPUT_DATA!$BQ:$BQ,INPUT_DATA!BS:BS))</f>
        <v>3767</v>
      </c>
      <c r="E20" s="417">
        <f>IF($B20=0,"",_xlfn.XLOOKUP($B20,INPUT_DATA!$BQ:$BQ,INPUT_DATA!BT:BT))</f>
        <v>4811753.3499999996</v>
      </c>
      <c r="F20" s="417">
        <f>IF($B20=0,"",_xlfn.XLOOKUP($B20,INPUT_DATA!$BQ:$BQ,INPUT_DATA!BU:BU))</f>
        <v>19</v>
      </c>
      <c r="G20" s="417">
        <f>IF($B20=0,"",_xlfn.XLOOKUP($B20,INPUT_DATA!$BQ:$BQ,INPUT_DATA!BV:BV))</f>
        <v>1267152.06</v>
      </c>
      <c r="H20" s="417">
        <f>IF($B20=0,"",_xlfn.XLOOKUP($B20,INPUT_DATA!$BQ:$BQ,INPUT_DATA!BW:BW))</f>
        <v>7</v>
      </c>
      <c r="I20" s="417">
        <f>IF($B20=0,"",_xlfn.XLOOKUP($B20,INPUT_DATA!$BQ:$BQ,INPUT_DATA!BX:BX))</f>
        <v>0</v>
      </c>
      <c r="J20" s="417">
        <f>IF($B20=0,"",_xlfn.XLOOKUP($B20,INPUT_DATA!$BQ:$BQ,INPUT_DATA!BY:BY))</f>
        <v>0</v>
      </c>
      <c r="K20" s="789">
        <f>IF($B20=0,"",_xlfn.XLOOKUP($B20,INPUT_DATA!$BQ:$BQ,INPUT_DATA!CD:CD))</f>
        <v>0</v>
      </c>
      <c r="L20" s="789">
        <f>IF($B20=0,"",_xlfn.XLOOKUP($B20,INPUT_DATA!$BQ:$BQ,INPUT_DATA!CE:CE))</f>
        <v>0</v>
      </c>
      <c r="M20" s="789">
        <f>IF($B20=0,"",_xlfn.XLOOKUP($B20,INPUT_DATA!$BQ:$BQ,INPUT_DATA!CF:CF))</f>
        <v>3837031.38</v>
      </c>
      <c r="N20" s="789">
        <f>IF($B20=0,"",_xlfn.XLOOKUP($B20,INPUT_DATA!$BQ:$BQ,INPUT_DATA!CG:CG))</f>
        <v>0</v>
      </c>
      <c r="O20" s="789">
        <f>IF($B20=0,"",_xlfn.XLOOKUP($B20,INPUT_DATA!$BQ:$BQ,INPUT_DATA!CH:CH))</f>
        <v>0</v>
      </c>
    </row>
    <row r="21" spans="2:15" x14ac:dyDescent="0.25">
      <c r="B21" s="785">
        <f>'03 - Monthly Asset Follow up'!B26</f>
        <v>45291</v>
      </c>
      <c r="C21" s="417">
        <f>IF($B21=0,"",_xlfn.XLOOKUP($B21,INPUT_DATA!$BQ:$BQ,INPUT_DATA!BR:BR))</f>
        <v>735712836.07000005</v>
      </c>
      <c r="D21" s="417">
        <f>IF($B21=0,"",_xlfn.XLOOKUP($B21,INPUT_DATA!$BQ:$BQ,INPUT_DATA!BS:BS))</f>
        <v>3800</v>
      </c>
      <c r="E21" s="417">
        <f>IF($B21=0,"",_xlfn.XLOOKUP($B21,INPUT_DATA!$BQ:$BQ,INPUT_DATA!BT:BT))</f>
        <v>2818782.74</v>
      </c>
      <c r="F21" s="417">
        <f>IF($B21=0,"",_xlfn.XLOOKUP($B21,INPUT_DATA!$BQ:$BQ,INPUT_DATA!BU:BU))</f>
        <v>16</v>
      </c>
      <c r="G21" s="417">
        <f>IF($B21=0,"",_xlfn.XLOOKUP($B21,INPUT_DATA!$BQ:$BQ,INPUT_DATA!BV:BV))</f>
        <v>654738.47</v>
      </c>
      <c r="H21" s="417">
        <f>IF($B21=0,"",_xlfn.XLOOKUP($B21,INPUT_DATA!$BQ:$BQ,INPUT_DATA!BW:BW))</f>
        <v>2</v>
      </c>
      <c r="I21" s="417">
        <f>IF($B21=0,"",_xlfn.XLOOKUP($B21,INPUT_DATA!$BQ:$BQ,INPUT_DATA!BX:BX))</f>
        <v>0</v>
      </c>
      <c r="J21" s="417">
        <f>IF($B21=0,"",_xlfn.XLOOKUP($B21,INPUT_DATA!$BQ:$BQ,INPUT_DATA!BY:BY))</f>
        <v>0</v>
      </c>
      <c r="K21" s="789">
        <f>IF($B21=0,"",_xlfn.XLOOKUP($B21,INPUT_DATA!$BQ:$BQ,INPUT_DATA!CD:CD))</f>
        <v>0</v>
      </c>
      <c r="L21" s="789">
        <f>IF($B21=0,"",_xlfn.XLOOKUP($B21,INPUT_DATA!$BQ:$BQ,INPUT_DATA!CE:CE))</f>
        <v>1717.46</v>
      </c>
      <c r="M21" s="789">
        <f>IF($B21=0,"",_xlfn.XLOOKUP($B21,INPUT_DATA!$BQ:$BQ,INPUT_DATA!CF:CF))</f>
        <v>3879102.52</v>
      </c>
      <c r="N21" s="789">
        <f>IF($B21=0,"",_xlfn.XLOOKUP($B21,INPUT_DATA!$BQ:$BQ,INPUT_DATA!CG:CG))</f>
        <v>0</v>
      </c>
      <c r="O21" s="789">
        <f>IF($B21=0,"",_xlfn.XLOOKUP($B21,INPUT_DATA!$BQ:$BQ,INPUT_DATA!CH:CH))</f>
        <v>1717.46</v>
      </c>
    </row>
    <row r="22" spans="2:15" x14ac:dyDescent="0.25">
      <c r="B22" s="785">
        <f>'03 - Monthly Asset Follow up'!B27</f>
        <v>45260</v>
      </c>
      <c r="C22" s="417">
        <f>IF($B22=0,"",_xlfn.XLOOKUP($B22,INPUT_DATA!$BQ:$BQ,INPUT_DATA!BR:BR))</f>
        <v>742196949.74000001</v>
      </c>
      <c r="D22" s="417">
        <f>IF($B22=0,"",_xlfn.XLOOKUP($B22,INPUT_DATA!$BQ:$BQ,INPUT_DATA!BS:BS))</f>
        <v>3832</v>
      </c>
      <c r="E22" s="417">
        <f>IF($B22=0,"",_xlfn.XLOOKUP($B22,INPUT_DATA!$BQ:$BQ,INPUT_DATA!BT:BT))</f>
        <v>1801102.29</v>
      </c>
      <c r="F22" s="417">
        <f>IF($B22=0,"",_xlfn.XLOOKUP($B22,INPUT_DATA!$BQ:$BQ,INPUT_DATA!BU:BU))</f>
        <v>10</v>
      </c>
      <c r="G22" s="417">
        <f>IF($B22=0,"",_xlfn.XLOOKUP($B22,INPUT_DATA!$BQ:$BQ,INPUT_DATA!BV:BV))</f>
        <v>801737.43</v>
      </c>
      <c r="H22" s="417">
        <f>IF($B22=0,"",_xlfn.XLOOKUP($B22,INPUT_DATA!$BQ:$BQ,INPUT_DATA!BW:BW))</f>
        <v>5</v>
      </c>
      <c r="I22" s="417">
        <f>IF($B22=0,"",_xlfn.XLOOKUP($B22,INPUT_DATA!$BQ:$BQ,INPUT_DATA!BX:BX))</f>
        <v>0</v>
      </c>
      <c r="J22" s="417">
        <f>IF($B22=0,"",_xlfn.XLOOKUP($B22,INPUT_DATA!$BQ:$BQ,INPUT_DATA!BY:BY))</f>
        <v>0</v>
      </c>
      <c r="K22" s="789">
        <f>IF($B22=0,"",_xlfn.XLOOKUP($B22,INPUT_DATA!$BQ:$BQ,INPUT_DATA!CD:CD))</f>
        <v>0</v>
      </c>
      <c r="L22" s="789">
        <f>IF($B22=0,"",_xlfn.XLOOKUP($B22,INPUT_DATA!$BQ:$BQ,INPUT_DATA!CE:CE))</f>
        <v>0</v>
      </c>
      <c r="M22" s="789">
        <f>IF($B22=0,"",_xlfn.XLOOKUP($B22,INPUT_DATA!$BQ:$BQ,INPUT_DATA!CF:CF))</f>
        <v>3888899.28</v>
      </c>
      <c r="N22" s="789">
        <f>IF($B22=0,"",_xlfn.XLOOKUP($B22,INPUT_DATA!$BQ:$BQ,INPUT_DATA!CG:CG))</f>
        <v>0</v>
      </c>
      <c r="O22" s="789">
        <f>IF($B22=0,"",_xlfn.XLOOKUP($B22,INPUT_DATA!$BQ:$BQ,INPUT_DATA!CH:CH))</f>
        <v>0</v>
      </c>
    </row>
    <row r="23" spans="2:15" x14ac:dyDescent="0.25">
      <c r="B23" s="785">
        <f>'03 - Monthly Asset Follow up'!B28</f>
        <v>45230</v>
      </c>
      <c r="C23" s="417">
        <f>IF($B23=0,"",_xlfn.XLOOKUP($B23,INPUT_DATA!$BQ:$BQ,INPUT_DATA!BR:BR))</f>
        <v>751085014.37</v>
      </c>
      <c r="D23" s="417">
        <f>IF($B23=0,"",_xlfn.XLOOKUP($B23,INPUT_DATA!$BQ:$BQ,INPUT_DATA!BS:BS))</f>
        <v>3847</v>
      </c>
      <c r="E23" s="417">
        <f>IF($B23=0,"",_xlfn.XLOOKUP($B23,INPUT_DATA!$BQ:$BQ,INPUT_DATA!BT:BT))</f>
        <v>0</v>
      </c>
      <c r="F23" s="417">
        <f>IF($B23=0,"",_xlfn.XLOOKUP($B23,INPUT_DATA!$BQ:$BQ,INPUT_DATA!BU:BU))</f>
        <v>0</v>
      </c>
      <c r="G23" s="417">
        <f>IF($B23=0,"",_xlfn.XLOOKUP($B23,INPUT_DATA!$BQ:$BQ,INPUT_DATA!BV:BV))</f>
        <v>0</v>
      </c>
      <c r="H23" s="417">
        <f>IF($B23=0,"",_xlfn.XLOOKUP($B23,INPUT_DATA!$BQ:$BQ,INPUT_DATA!BW:BW))</f>
        <v>0</v>
      </c>
      <c r="I23" s="417">
        <f>IF($B23=0,"",_xlfn.XLOOKUP($B23,INPUT_DATA!$BQ:$BQ,INPUT_DATA!BX:BX))</f>
        <v>0</v>
      </c>
      <c r="J23" s="417">
        <f>IF($B23=0,"",_xlfn.XLOOKUP($B23,INPUT_DATA!$BQ:$BQ,INPUT_DATA!BY:BY))</f>
        <v>0</v>
      </c>
      <c r="K23" s="789">
        <f>IF($B23=0,"",_xlfn.XLOOKUP($B23,INPUT_DATA!$BQ:$BQ,INPUT_DATA!CD:CD))</f>
        <v>0</v>
      </c>
      <c r="L23" s="789">
        <f>IF($B23=0,"",_xlfn.XLOOKUP($B23,INPUT_DATA!$BQ:$BQ,INPUT_DATA!CE:CE))</f>
        <v>0</v>
      </c>
      <c r="M23" s="789">
        <f>IF($B23=0,"",_xlfn.XLOOKUP($B23,INPUT_DATA!$BQ:$BQ,INPUT_DATA!CF:CF))</f>
        <v>3893805.59</v>
      </c>
      <c r="N23" s="789">
        <f>IF($B23=0,"",_xlfn.XLOOKUP($B23,INPUT_DATA!$BQ:$BQ,INPUT_DATA!CG:CG))</f>
        <v>0</v>
      </c>
      <c r="O23" s="789">
        <f>IF($B23=0,"",_xlfn.XLOOKUP($B23,INPUT_DATA!$BQ:$BQ,INPUT_DATA!CH:CH))</f>
        <v>0</v>
      </c>
    </row>
    <row r="24" spans="2:15" x14ac:dyDescent="0.25">
      <c r="B24" s="785">
        <f>'03 - Monthly Asset Follow up'!B29</f>
        <v>0</v>
      </c>
      <c r="C24" s="417" t="str">
        <f>IF($B24=0,"",_xlfn.XLOOKUP($B24,INPUT_DATA!$BQ:$BQ,INPUT_DATA!BR:BR))</f>
        <v/>
      </c>
      <c r="D24" s="417" t="str">
        <f>IF($B24=0,"",_xlfn.XLOOKUP($B24,INPUT_DATA!$BQ:$BQ,INPUT_DATA!BS:BS))</f>
        <v/>
      </c>
      <c r="E24" s="417" t="str">
        <f>IF($B24=0,"",_xlfn.XLOOKUP($B24,INPUT_DATA!$BQ:$BQ,INPUT_DATA!BT:BT))</f>
        <v/>
      </c>
      <c r="F24" s="417" t="str">
        <f>IF($B24=0,"",_xlfn.XLOOKUP($B24,INPUT_DATA!$BQ:$BQ,INPUT_DATA!BU:BU))</f>
        <v/>
      </c>
      <c r="G24" s="417" t="str">
        <f>IF($B24=0,"",_xlfn.XLOOKUP($B24,INPUT_DATA!$BQ:$BQ,INPUT_DATA!BV:BV))</f>
        <v/>
      </c>
      <c r="H24" s="417" t="str">
        <f>IF($B24=0,"",_xlfn.XLOOKUP($B24,INPUT_DATA!$BQ:$BQ,INPUT_DATA!BW:BW))</f>
        <v/>
      </c>
      <c r="I24" s="417" t="str">
        <f>IF($B24=0,"",_xlfn.XLOOKUP($B24,INPUT_DATA!$BQ:$BQ,INPUT_DATA!BX:BX))</f>
        <v/>
      </c>
      <c r="J24" s="417" t="str">
        <f>IF($B24=0,"",_xlfn.XLOOKUP($B24,INPUT_DATA!$BQ:$BQ,INPUT_DATA!BY:BY))</f>
        <v/>
      </c>
      <c r="K24" s="789" t="str">
        <f>IF($B24=0,"",_xlfn.XLOOKUP($B24,INPUT_DATA!$BQ:$BQ,INPUT_DATA!CD:CD))</f>
        <v/>
      </c>
      <c r="L24" s="789" t="str">
        <f>IF($B24=0,"",_xlfn.XLOOKUP($B24,INPUT_DATA!$BQ:$BQ,INPUT_DATA!CE:CE))</f>
        <v/>
      </c>
      <c r="M24" s="789" t="str">
        <f>IF($B24=0,"",_xlfn.XLOOKUP($B24,INPUT_DATA!$BQ:$BQ,INPUT_DATA!CF:CF))</f>
        <v/>
      </c>
      <c r="N24" s="789" t="str">
        <f>IF($B24=0,"",_xlfn.XLOOKUP($B24,INPUT_DATA!$BQ:$BQ,INPUT_DATA!CG:CG))</f>
        <v/>
      </c>
      <c r="O24" s="789" t="str">
        <f>IF($B24=0,"",_xlfn.XLOOKUP($B24,INPUT_DATA!$BQ:$BQ,INPUT_DATA!CH:CH))</f>
        <v/>
      </c>
    </row>
    <row r="25" spans="2:15" x14ac:dyDescent="0.25">
      <c r="B25" s="785">
        <f>'03 - Monthly Asset Follow up'!B30</f>
        <v>0</v>
      </c>
      <c r="C25" s="417" t="str">
        <f>IF($B25=0,"",_xlfn.XLOOKUP($B25,INPUT_DATA!$BQ:$BQ,INPUT_DATA!BR:BR))</f>
        <v/>
      </c>
      <c r="D25" s="417" t="str">
        <f>IF($B25=0,"",_xlfn.XLOOKUP($B25,INPUT_DATA!$BQ:$BQ,INPUT_DATA!BS:BS))</f>
        <v/>
      </c>
      <c r="E25" s="417" t="str">
        <f>IF($B25=0,"",_xlfn.XLOOKUP($B25,INPUT_DATA!$BQ:$BQ,INPUT_DATA!BT:BT))</f>
        <v/>
      </c>
      <c r="F25" s="417" t="str">
        <f>IF($B25=0,"",_xlfn.XLOOKUP($B25,INPUT_DATA!$BQ:$BQ,INPUT_DATA!BU:BU))</f>
        <v/>
      </c>
      <c r="G25" s="417" t="str">
        <f>IF($B25=0,"",_xlfn.XLOOKUP($B25,INPUT_DATA!$BQ:$BQ,INPUT_DATA!BV:BV))</f>
        <v/>
      </c>
      <c r="H25" s="417" t="str">
        <f>IF($B25=0,"",_xlfn.XLOOKUP($B25,INPUT_DATA!$BQ:$BQ,INPUT_DATA!BW:BW))</f>
        <v/>
      </c>
      <c r="I25" s="417" t="str">
        <f>IF($B25=0,"",_xlfn.XLOOKUP($B25,INPUT_DATA!$BQ:$BQ,INPUT_DATA!BX:BX))</f>
        <v/>
      </c>
      <c r="J25" s="417" t="str">
        <f>IF($B25=0,"",_xlfn.XLOOKUP($B25,INPUT_DATA!$BQ:$BQ,INPUT_DATA!BY:BY))</f>
        <v/>
      </c>
      <c r="K25" s="789" t="str">
        <f>IF($B25=0,"",_xlfn.XLOOKUP($B25,INPUT_DATA!$BQ:$BQ,INPUT_DATA!CD:CD))</f>
        <v/>
      </c>
      <c r="L25" s="789" t="str">
        <f>IF($B25=0,"",_xlfn.XLOOKUP($B25,INPUT_DATA!$BQ:$BQ,INPUT_DATA!CE:CE))</f>
        <v/>
      </c>
      <c r="M25" s="789" t="str">
        <f>IF($B25=0,"",_xlfn.XLOOKUP($B25,INPUT_DATA!$BQ:$BQ,INPUT_DATA!CF:CF))</f>
        <v/>
      </c>
      <c r="N25" s="789" t="str">
        <f>IF($B25=0,"",_xlfn.XLOOKUP($B25,INPUT_DATA!$BQ:$BQ,INPUT_DATA!CG:CG))</f>
        <v/>
      </c>
      <c r="O25" s="789" t="str">
        <f>IF($B25=0,"",_xlfn.XLOOKUP($B25,INPUT_DATA!$BQ:$BQ,INPUT_DATA!CH:CH))</f>
        <v/>
      </c>
    </row>
    <row r="26" spans="2:15" x14ac:dyDescent="0.25">
      <c r="B26" s="785">
        <f>'03 - Monthly Asset Follow up'!B31</f>
        <v>0</v>
      </c>
      <c r="C26" s="417" t="str">
        <f>IF($B26=0,"",_xlfn.XLOOKUP($B26,INPUT_DATA!$BQ:$BQ,INPUT_DATA!BR:BR))</f>
        <v/>
      </c>
      <c r="D26" s="417" t="str">
        <f>IF($B26=0,"",_xlfn.XLOOKUP($B26,INPUT_DATA!$BQ:$BQ,INPUT_DATA!BS:BS))</f>
        <v/>
      </c>
      <c r="E26" s="417" t="str">
        <f>IF($B26=0,"",_xlfn.XLOOKUP($B26,INPUT_DATA!$BQ:$BQ,INPUT_DATA!BT:BT))</f>
        <v/>
      </c>
      <c r="F26" s="417" t="str">
        <f>IF($B26=0,"",_xlfn.XLOOKUP($B26,INPUT_DATA!$BQ:$BQ,INPUT_DATA!BU:BU))</f>
        <v/>
      </c>
      <c r="G26" s="417" t="str">
        <f>IF($B26=0,"",_xlfn.XLOOKUP($B26,INPUT_DATA!$BQ:$BQ,INPUT_DATA!BV:BV))</f>
        <v/>
      </c>
      <c r="H26" s="417" t="str">
        <f>IF($B26=0,"",_xlfn.XLOOKUP($B26,INPUT_DATA!$BQ:$BQ,INPUT_DATA!BW:BW))</f>
        <v/>
      </c>
      <c r="I26" s="417" t="str">
        <f>IF($B26=0,"",_xlfn.XLOOKUP($B26,INPUT_DATA!$BQ:$BQ,INPUT_DATA!BX:BX))</f>
        <v/>
      </c>
      <c r="J26" s="417" t="str">
        <f>IF($B26=0,"",_xlfn.XLOOKUP($B26,INPUT_DATA!$BQ:$BQ,INPUT_DATA!BY:BY))</f>
        <v/>
      </c>
      <c r="K26" s="789" t="str">
        <f>IF($B26=0,"",_xlfn.XLOOKUP($B26,INPUT_DATA!$BQ:$BQ,INPUT_DATA!CD:CD))</f>
        <v/>
      </c>
      <c r="L26" s="789" t="str">
        <f>IF($B26=0,"",_xlfn.XLOOKUP($B26,INPUT_DATA!$BQ:$BQ,INPUT_DATA!CE:CE))</f>
        <v/>
      </c>
      <c r="M26" s="789" t="str">
        <f>IF($B26=0,"",_xlfn.XLOOKUP($B26,INPUT_DATA!$BQ:$BQ,INPUT_DATA!CF:CF))</f>
        <v/>
      </c>
      <c r="N26" s="789" t="str">
        <f>IF($B26=0,"",_xlfn.XLOOKUP($B26,INPUT_DATA!$BQ:$BQ,INPUT_DATA!CG:CG))</f>
        <v/>
      </c>
      <c r="O26" s="789" t="str">
        <f>IF($B26=0,"",_xlfn.XLOOKUP($B26,INPUT_DATA!$BQ:$BQ,INPUT_DATA!CH:CH))</f>
        <v/>
      </c>
    </row>
    <row r="27" spans="2:15" x14ac:dyDescent="0.25">
      <c r="B27" s="785">
        <f>'03 - Monthly Asset Follow up'!B32</f>
        <v>0</v>
      </c>
      <c r="C27" s="417" t="str">
        <f>IF($B27=0,"",_xlfn.XLOOKUP($B27,INPUT_DATA!$BQ:$BQ,INPUT_DATA!BR:BR))</f>
        <v/>
      </c>
      <c r="D27" s="417" t="str">
        <f>IF($B27=0,"",_xlfn.XLOOKUP($B27,INPUT_DATA!$BQ:$BQ,INPUT_DATA!BS:BS))</f>
        <v/>
      </c>
      <c r="E27" s="417" t="str">
        <f>IF($B27=0,"",_xlfn.XLOOKUP($B27,INPUT_DATA!$BQ:$BQ,INPUT_DATA!BT:BT))</f>
        <v/>
      </c>
      <c r="F27" s="417" t="str">
        <f>IF($B27=0,"",_xlfn.XLOOKUP($B27,INPUT_DATA!$BQ:$BQ,INPUT_DATA!BU:BU))</f>
        <v/>
      </c>
      <c r="G27" s="417" t="str">
        <f>IF($B27=0,"",_xlfn.XLOOKUP($B27,INPUT_DATA!$BQ:$BQ,INPUT_DATA!BV:BV))</f>
        <v/>
      </c>
      <c r="H27" s="417" t="str">
        <f>IF($B27=0,"",_xlfn.XLOOKUP($B27,INPUT_DATA!$BQ:$BQ,INPUT_DATA!BW:BW))</f>
        <v/>
      </c>
      <c r="I27" s="417" t="str">
        <f>IF($B27=0,"",_xlfn.XLOOKUP($B27,INPUT_DATA!$BQ:$BQ,INPUT_DATA!BX:BX))</f>
        <v/>
      </c>
      <c r="J27" s="417" t="str">
        <f>IF($B27=0,"",_xlfn.XLOOKUP($B27,INPUT_DATA!$BQ:$BQ,INPUT_DATA!BY:BY))</f>
        <v/>
      </c>
      <c r="K27" s="789" t="str">
        <f>IF($B27=0,"",_xlfn.XLOOKUP($B27,INPUT_DATA!$BQ:$BQ,INPUT_DATA!CD:CD))</f>
        <v/>
      </c>
      <c r="L27" s="789" t="str">
        <f>IF($B27=0,"",_xlfn.XLOOKUP($B27,INPUT_DATA!$BQ:$BQ,INPUT_DATA!CE:CE))</f>
        <v/>
      </c>
      <c r="M27" s="789" t="str">
        <f>IF($B27=0,"",_xlfn.XLOOKUP($B27,INPUT_DATA!$BQ:$BQ,INPUT_DATA!CF:CF))</f>
        <v/>
      </c>
      <c r="N27" s="789" t="str">
        <f>IF($B27=0,"",_xlfn.XLOOKUP($B27,INPUT_DATA!$BQ:$BQ,INPUT_DATA!CG:CG))</f>
        <v/>
      </c>
      <c r="O27" s="789" t="str">
        <f>IF($B27=0,"",_xlfn.XLOOKUP($B27,INPUT_DATA!$BQ:$BQ,INPUT_DATA!CH:CH))</f>
        <v/>
      </c>
    </row>
    <row r="28" spans="2:15" x14ac:dyDescent="0.25">
      <c r="B28" s="785">
        <f>'03 - Monthly Asset Follow up'!B33</f>
        <v>0</v>
      </c>
      <c r="C28" s="417" t="str">
        <f>IF($B28=0,"",_xlfn.XLOOKUP($B28,INPUT_DATA!$BQ:$BQ,INPUT_DATA!BR:BR))</f>
        <v/>
      </c>
      <c r="D28" s="417" t="str">
        <f>IF($B28=0,"",_xlfn.XLOOKUP($B28,INPUT_DATA!$BQ:$BQ,INPUT_DATA!BS:BS))</f>
        <v/>
      </c>
      <c r="E28" s="417" t="str">
        <f>IF($B28=0,"",_xlfn.XLOOKUP($B28,INPUT_DATA!$BQ:$BQ,INPUT_DATA!BT:BT))</f>
        <v/>
      </c>
      <c r="F28" s="417" t="str">
        <f>IF($B28=0,"",_xlfn.XLOOKUP($B28,INPUT_DATA!$BQ:$BQ,INPUT_DATA!BU:BU))</f>
        <v/>
      </c>
      <c r="G28" s="417" t="str">
        <f>IF($B28=0,"",_xlfn.XLOOKUP($B28,INPUT_DATA!$BQ:$BQ,INPUT_DATA!BV:BV))</f>
        <v/>
      </c>
      <c r="H28" s="417" t="str">
        <f>IF($B28=0,"",_xlfn.XLOOKUP($B28,INPUT_DATA!$BQ:$BQ,INPUT_DATA!BW:BW))</f>
        <v/>
      </c>
      <c r="I28" s="417" t="str">
        <f>IF($B28=0,"",_xlfn.XLOOKUP($B28,INPUT_DATA!$BQ:$BQ,INPUT_DATA!BX:BX))</f>
        <v/>
      </c>
      <c r="J28" s="417" t="str">
        <f>IF($B28=0,"",_xlfn.XLOOKUP($B28,INPUT_DATA!$BQ:$BQ,INPUT_DATA!BY:BY))</f>
        <v/>
      </c>
      <c r="K28" s="789" t="str">
        <f>IF($B28=0,"",_xlfn.XLOOKUP($B28,INPUT_DATA!$BQ:$BQ,INPUT_DATA!CD:CD))</f>
        <v/>
      </c>
      <c r="L28" s="789" t="str">
        <f>IF($B28=0,"",_xlfn.XLOOKUP($B28,INPUT_DATA!$BQ:$BQ,INPUT_DATA!CE:CE))</f>
        <v/>
      </c>
      <c r="M28" s="789" t="str">
        <f>IF($B28=0,"",_xlfn.XLOOKUP($B28,INPUT_DATA!$BQ:$BQ,INPUT_DATA!CF:CF))</f>
        <v/>
      </c>
      <c r="N28" s="789" t="str">
        <f>IF($B28=0,"",_xlfn.XLOOKUP($B28,INPUT_DATA!$BQ:$BQ,INPUT_DATA!CG:CG))</f>
        <v/>
      </c>
      <c r="O28" s="789" t="str">
        <f>IF($B28=0,"",_xlfn.XLOOKUP($B28,INPUT_DATA!$BQ:$BQ,INPUT_DATA!CH:CH))</f>
        <v/>
      </c>
    </row>
    <row r="29" spans="2:15" x14ac:dyDescent="0.25">
      <c r="B29" s="785">
        <f>'03 - Monthly Asset Follow up'!B34</f>
        <v>0</v>
      </c>
      <c r="C29" s="417" t="str">
        <f>IF($B29=0,"",_xlfn.XLOOKUP($B29,INPUT_DATA!$BQ:$BQ,INPUT_DATA!BR:BR))</f>
        <v/>
      </c>
      <c r="D29" s="417" t="str">
        <f>IF($B29=0,"",_xlfn.XLOOKUP($B29,INPUT_DATA!$BQ:$BQ,INPUT_DATA!BS:BS))</f>
        <v/>
      </c>
      <c r="E29" s="417" t="str">
        <f>IF($B29=0,"",_xlfn.XLOOKUP($B29,INPUT_DATA!$BQ:$BQ,INPUT_DATA!BT:BT))</f>
        <v/>
      </c>
      <c r="F29" s="417" t="str">
        <f>IF($B29=0,"",_xlfn.XLOOKUP($B29,INPUT_DATA!$BQ:$BQ,INPUT_DATA!BU:BU))</f>
        <v/>
      </c>
      <c r="G29" s="417" t="str">
        <f>IF($B29=0,"",_xlfn.XLOOKUP($B29,INPUT_DATA!$BQ:$BQ,INPUT_DATA!BV:BV))</f>
        <v/>
      </c>
      <c r="H29" s="417" t="str">
        <f>IF($B29=0,"",_xlfn.XLOOKUP($B29,INPUT_DATA!$BQ:$BQ,INPUT_DATA!BW:BW))</f>
        <v/>
      </c>
      <c r="I29" s="417" t="str">
        <f>IF($B29=0,"",_xlfn.XLOOKUP($B29,INPUT_DATA!$BQ:$BQ,INPUT_DATA!BX:BX))</f>
        <v/>
      </c>
      <c r="J29" s="417" t="str">
        <f>IF($B29=0,"",_xlfn.XLOOKUP($B29,INPUT_DATA!$BQ:$BQ,INPUT_DATA!BY:BY))</f>
        <v/>
      </c>
      <c r="K29" s="789" t="str">
        <f>IF($B29=0,"",_xlfn.XLOOKUP($B29,INPUT_DATA!$BQ:$BQ,INPUT_DATA!CD:CD))</f>
        <v/>
      </c>
      <c r="L29" s="789" t="str">
        <f>IF($B29=0,"",_xlfn.XLOOKUP($B29,INPUT_DATA!$BQ:$BQ,INPUT_DATA!CE:CE))</f>
        <v/>
      </c>
      <c r="M29" s="789" t="str">
        <f>IF($B29=0,"",_xlfn.XLOOKUP($B29,INPUT_DATA!$BQ:$BQ,INPUT_DATA!CF:CF))</f>
        <v/>
      </c>
      <c r="N29" s="789" t="str">
        <f>IF($B29=0,"",_xlfn.XLOOKUP($B29,INPUT_DATA!$BQ:$BQ,INPUT_DATA!CG:CG))</f>
        <v/>
      </c>
      <c r="O29" s="789" t="str">
        <f>IF($B29=0,"",_xlfn.XLOOKUP($B29,INPUT_DATA!$BQ:$BQ,INPUT_DATA!CH:CH))</f>
        <v/>
      </c>
    </row>
    <row r="30" spans="2:15" x14ac:dyDescent="0.25">
      <c r="B30" s="785">
        <f>'03 - Monthly Asset Follow up'!B35</f>
        <v>0</v>
      </c>
      <c r="C30" s="417" t="str">
        <f>IF($B30=0,"",_xlfn.XLOOKUP($B30,INPUT_DATA!$BQ:$BQ,INPUT_DATA!BR:BR))</f>
        <v/>
      </c>
      <c r="D30" s="417" t="str">
        <f>IF($B30=0,"",_xlfn.XLOOKUP($B30,INPUT_DATA!$BQ:$BQ,INPUT_DATA!BS:BS))</f>
        <v/>
      </c>
      <c r="E30" s="417" t="str">
        <f>IF($B30=0,"",_xlfn.XLOOKUP($B30,INPUT_DATA!$BQ:$BQ,INPUT_DATA!BT:BT))</f>
        <v/>
      </c>
      <c r="F30" s="417" t="str">
        <f>IF($B30=0,"",_xlfn.XLOOKUP($B30,INPUT_DATA!$BQ:$BQ,INPUT_DATA!BU:BU))</f>
        <v/>
      </c>
      <c r="G30" s="417" t="str">
        <f>IF($B30=0,"",_xlfn.XLOOKUP($B30,INPUT_DATA!$BQ:$BQ,INPUT_DATA!BV:BV))</f>
        <v/>
      </c>
      <c r="H30" s="417" t="str">
        <f>IF($B30=0,"",_xlfn.XLOOKUP($B30,INPUT_DATA!$BQ:$BQ,INPUT_DATA!BW:BW))</f>
        <v/>
      </c>
      <c r="I30" s="417" t="str">
        <f>IF($B30=0,"",_xlfn.XLOOKUP($B30,INPUT_DATA!$BQ:$BQ,INPUT_DATA!BX:BX))</f>
        <v/>
      </c>
      <c r="J30" s="417" t="str">
        <f>IF($B30=0,"",_xlfn.XLOOKUP($B30,INPUT_DATA!$BQ:$BQ,INPUT_DATA!BY:BY))</f>
        <v/>
      </c>
      <c r="K30" s="789" t="str">
        <f>IF($B30=0,"",_xlfn.XLOOKUP($B30,INPUT_DATA!$BQ:$BQ,INPUT_DATA!CD:CD))</f>
        <v/>
      </c>
      <c r="L30" s="789" t="str">
        <f>IF($B30=0,"",_xlfn.XLOOKUP($B30,INPUT_DATA!$BQ:$BQ,INPUT_DATA!CE:CE))</f>
        <v/>
      </c>
      <c r="M30" s="789" t="str">
        <f>IF($B30=0,"",_xlfn.XLOOKUP($B30,INPUT_DATA!$BQ:$BQ,INPUT_DATA!CF:CF))</f>
        <v/>
      </c>
      <c r="N30" s="789" t="str">
        <f>IF($B30=0,"",_xlfn.XLOOKUP($B30,INPUT_DATA!$BQ:$BQ,INPUT_DATA!CG:CG))</f>
        <v/>
      </c>
      <c r="O30" s="789" t="str">
        <f>IF($B30=0,"",_xlfn.XLOOKUP($B30,INPUT_DATA!$BQ:$BQ,INPUT_DATA!CH:CH))</f>
        <v/>
      </c>
    </row>
    <row r="31" spans="2:15" x14ac:dyDescent="0.25">
      <c r="B31" s="785">
        <f>'03 - Monthly Asset Follow up'!B36</f>
        <v>0</v>
      </c>
      <c r="C31" s="417" t="str">
        <f>IF($B31=0,"",_xlfn.XLOOKUP($B31,INPUT_DATA!$BQ:$BQ,INPUT_DATA!BR:BR))</f>
        <v/>
      </c>
      <c r="D31" s="417" t="str">
        <f>IF($B31=0,"",_xlfn.XLOOKUP($B31,INPUT_DATA!$BQ:$BQ,INPUT_DATA!BS:BS))</f>
        <v/>
      </c>
      <c r="E31" s="417" t="str">
        <f>IF($B31=0,"",_xlfn.XLOOKUP($B31,INPUT_DATA!$BQ:$BQ,INPUT_DATA!BT:BT))</f>
        <v/>
      </c>
      <c r="F31" s="417" t="str">
        <f>IF($B31=0,"",_xlfn.XLOOKUP($B31,INPUT_DATA!$BQ:$BQ,INPUT_DATA!BU:BU))</f>
        <v/>
      </c>
      <c r="G31" s="417" t="str">
        <f>IF($B31=0,"",_xlfn.XLOOKUP($B31,INPUT_DATA!$BQ:$BQ,INPUT_DATA!BV:BV))</f>
        <v/>
      </c>
      <c r="H31" s="417" t="str">
        <f>IF($B31=0,"",_xlfn.XLOOKUP($B31,INPUT_DATA!$BQ:$BQ,INPUT_DATA!BW:BW))</f>
        <v/>
      </c>
      <c r="I31" s="417" t="str">
        <f>IF($B31=0,"",_xlfn.XLOOKUP($B31,INPUT_DATA!$BQ:$BQ,INPUT_DATA!BX:BX))</f>
        <v/>
      </c>
      <c r="J31" s="417" t="str">
        <f>IF($B31=0,"",_xlfn.XLOOKUP($B31,INPUT_DATA!$BQ:$BQ,INPUT_DATA!BY:BY))</f>
        <v/>
      </c>
      <c r="K31" s="789" t="str">
        <f>IF($B31=0,"",_xlfn.XLOOKUP($B31,INPUT_DATA!$BQ:$BQ,INPUT_DATA!CD:CD))</f>
        <v/>
      </c>
      <c r="L31" s="789" t="str">
        <f>IF($B31=0,"",_xlfn.XLOOKUP($B31,INPUT_DATA!$BQ:$BQ,INPUT_DATA!CE:CE))</f>
        <v/>
      </c>
      <c r="M31" s="789" t="str">
        <f>IF($B31=0,"",_xlfn.XLOOKUP($B31,INPUT_DATA!$BQ:$BQ,INPUT_DATA!CF:CF))</f>
        <v/>
      </c>
      <c r="N31" s="789" t="str">
        <f>IF($B31=0,"",_xlfn.XLOOKUP($B31,INPUT_DATA!$BQ:$BQ,INPUT_DATA!CG:CG))</f>
        <v/>
      </c>
      <c r="O31" s="789" t="str">
        <f>IF($B31=0,"",_xlfn.XLOOKUP($B31,INPUT_DATA!$BQ:$BQ,INPUT_DATA!CH:CH))</f>
        <v/>
      </c>
    </row>
    <row r="32" spans="2:15" x14ac:dyDescent="0.25">
      <c r="B32" s="785">
        <f>'03 - Monthly Asset Follow up'!B37</f>
        <v>0</v>
      </c>
      <c r="C32" s="417" t="str">
        <f>IF($B32=0,"",_xlfn.XLOOKUP($B32,INPUT_DATA!$BQ:$BQ,INPUT_DATA!BR:BR))</f>
        <v/>
      </c>
      <c r="D32" s="417" t="str">
        <f>IF($B32=0,"",_xlfn.XLOOKUP($B32,INPUT_DATA!$BQ:$BQ,INPUT_DATA!BS:BS))</f>
        <v/>
      </c>
      <c r="E32" s="417" t="str">
        <f>IF($B32=0,"",_xlfn.XLOOKUP($B32,INPUT_DATA!$BQ:$BQ,INPUT_DATA!BT:BT))</f>
        <v/>
      </c>
      <c r="F32" s="417" t="str">
        <f>IF($B32=0,"",_xlfn.XLOOKUP($B32,INPUT_DATA!$BQ:$BQ,INPUT_DATA!BU:BU))</f>
        <v/>
      </c>
      <c r="G32" s="417" t="str">
        <f>IF($B32=0,"",_xlfn.XLOOKUP($B32,INPUT_DATA!$BQ:$BQ,INPUT_DATA!BV:BV))</f>
        <v/>
      </c>
      <c r="H32" s="417" t="str">
        <f>IF($B32=0,"",_xlfn.XLOOKUP($B32,INPUT_DATA!$BQ:$BQ,INPUT_DATA!BW:BW))</f>
        <v/>
      </c>
      <c r="I32" s="417" t="str">
        <f>IF($B32=0,"",_xlfn.XLOOKUP($B32,INPUT_DATA!$BQ:$BQ,INPUT_DATA!BX:BX))</f>
        <v/>
      </c>
      <c r="J32" s="417" t="str">
        <f>IF($B32=0,"",_xlfn.XLOOKUP($B32,INPUT_DATA!$BQ:$BQ,INPUT_DATA!BY:BY))</f>
        <v/>
      </c>
      <c r="K32" s="789" t="str">
        <f>IF($B32=0,"",_xlfn.XLOOKUP($B32,INPUT_DATA!$BQ:$BQ,INPUT_DATA!CD:CD))</f>
        <v/>
      </c>
      <c r="L32" s="789" t="str">
        <f>IF($B32=0,"",_xlfn.XLOOKUP($B32,INPUT_DATA!$BQ:$BQ,INPUT_DATA!CE:CE))</f>
        <v/>
      </c>
      <c r="M32" s="789" t="str">
        <f>IF($B32=0,"",_xlfn.XLOOKUP($B32,INPUT_DATA!$BQ:$BQ,INPUT_DATA!CF:CF))</f>
        <v/>
      </c>
      <c r="N32" s="789" t="str">
        <f>IF($B32=0,"",_xlfn.XLOOKUP($B32,INPUT_DATA!$BQ:$BQ,INPUT_DATA!CG:CG))</f>
        <v/>
      </c>
      <c r="O32" s="789" t="str">
        <f>IF($B32=0,"",_xlfn.XLOOKUP($B32,INPUT_DATA!$BQ:$BQ,INPUT_DATA!CH:CH))</f>
        <v/>
      </c>
    </row>
    <row r="33" spans="2:15" x14ac:dyDescent="0.25">
      <c r="B33" s="785">
        <f>'03 - Monthly Asset Follow up'!B38</f>
        <v>0</v>
      </c>
      <c r="C33" s="417" t="str">
        <f>IF($B33=0,"",_xlfn.XLOOKUP($B33,INPUT_DATA!$BQ:$BQ,INPUT_DATA!BR:BR))</f>
        <v/>
      </c>
      <c r="D33" s="417" t="str">
        <f>IF($B33=0,"",_xlfn.XLOOKUP($B33,INPUT_DATA!$BQ:$BQ,INPUT_DATA!BS:BS))</f>
        <v/>
      </c>
      <c r="E33" s="417" t="str">
        <f>IF($B33=0,"",_xlfn.XLOOKUP($B33,INPUT_DATA!$BQ:$BQ,INPUT_DATA!BT:BT))</f>
        <v/>
      </c>
      <c r="F33" s="417" t="str">
        <f>IF($B33=0,"",_xlfn.XLOOKUP($B33,INPUT_DATA!$BQ:$BQ,INPUT_DATA!BU:BU))</f>
        <v/>
      </c>
      <c r="G33" s="417" t="str">
        <f>IF($B33=0,"",_xlfn.XLOOKUP($B33,INPUT_DATA!$BQ:$BQ,INPUT_DATA!BV:BV))</f>
        <v/>
      </c>
      <c r="H33" s="417" t="str">
        <f>IF($B33=0,"",_xlfn.XLOOKUP($B33,INPUT_DATA!$BQ:$BQ,INPUT_DATA!BW:BW))</f>
        <v/>
      </c>
      <c r="I33" s="417" t="str">
        <f>IF($B33=0,"",_xlfn.XLOOKUP($B33,INPUT_DATA!$BQ:$BQ,INPUT_DATA!BX:BX))</f>
        <v/>
      </c>
      <c r="J33" s="417" t="str">
        <f>IF($B33=0,"",_xlfn.XLOOKUP($B33,INPUT_DATA!$BQ:$BQ,INPUT_DATA!BY:BY))</f>
        <v/>
      </c>
      <c r="K33" s="789" t="str">
        <f>IF($B33=0,"",_xlfn.XLOOKUP($B33,INPUT_DATA!$BQ:$BQ,INPUT_DATA!CD:CD))</f>
        <v/>
      </c>
      <c r="L33" s="789" t="str">
        <f>IF($B33=0,"",_xlfn.XLOOKUP($B33,INPUT_DATA!$BQ:$BQ,INPUT_DATA!CE:CE))</f>
        <v/>
      </c>
      <c r="M33" s="789" t="str">
        <f>IF($B33=0,"",_xlfn.XLOOKUP($B33,INPUT_DATA!$BQ:$BQ,INPUT_DATA!CF:CF))</f>
        <v/>
      </c>
      <c r="N33" s="789" t="str">
        <f>IF($B33=0,"",_xlfn.XLOOKUP($B33,INPUT_DATA!$BQ:$BQ,INPUT_DATA!CG:CG))</f>
        <v/>
      </c>
      <c r="O33" s="789" t="str">
        <f>IF($B33=0,"",_xlfn.XLOOKUP($B33,INPUT_DATA!$BQ:$BQ,INPUT_DATA!CH:CH))</f>
        <v/>
      </c>
    </row>
    <row r="34" spans="2:15" x14ac:dyDescent="0.25">
      <c r="B34" s="785">
        <f>'03 - Monthly Asset Follow up'!B39</f>
        <v>0</v>
      </c>
      <c r="C34" s="417" t="str">
        <f>IF($B34=0,"",_xlfn.XLOOKUP($B34,INPUT_DATA!$BQ:$BQ,INPUT_DATA!BR:BR))</f>
        <v/>
      </c>
      <c r="D34" s="417" t="str">
        <f>IF($B34=0,"",_xlfn.XLOOKUP($B34,INPUT_DATA!$BQ:$BQ,INPUT_DATA!BS:BS))</f>
        <v/>
      </c>
      <c r="E34" s="417" t="str">
        <f>IF($B34=0,"",_xlfn.XLOOKUP($B34,INPUT_DATA!$BQ:$BQ,INPUT_DATA!BT:BT))</f>
        <v/>
      </c>
      <c r="F34" s="417" t="str">
        <f>IF($B34=0,"",_xlfn.XLOOKUP($B34,INPUT_DATA!$BQ:$BQ,INPUT_DATA!BU:BU))</f>
        <v/>
      </c>
      <c r="G34" s="417" t="str">
        <f>IF($B34=0,"",_xlfn.XLOOKUP($B34,INPUT_DATA!$BQ:$BQ,INPUT_DATA!BV:BV))</f>
        <v/>
      </c>
      <c r="H34" s="417" t="str">
        <f>IF($B34=0,"",_xlfn.XLOOKUP($B34,INPUT_DATA!$BQ:$BQ,INPUT_DATA!BW:BW))</f>
        <v/>
      </c>
      <c r="I34" s="417" t="str">
        <f>IF($B34=0,"",_xlfn.XLOOKUP($B34,INPUT_DATA!$BQ:$BQ,INPUT_DATA!BX:BX))</f>
        <v/>
      </c>
      <c r="J34" s="417" t="str">
        <f>IF($B34=0,"",_xlfn.XLOOKUP($B34,INPUT_DATA!$BQ:$BQ,INPUT_DATA!BY:BY))</f>
        <v/>
      </c>
      <c r="K34" s="789" t="str">
        <f>IF($B34=0,"",_xlfn.XLOOKUP($B34,INPUT_DATA!$BQ:$BQ,INPUT_DATA!CD:CD))</f>
        <v/>
      </c>
      <c r="L34" s="789" t="str">
        <f>IF($B34=0,"",_xlfn.XLOOKUP($B34,INPUT_DATA!$BQ:$BQ,INPUT_DATA!CE:CE))</f>
        <v/>
      </c>
      <c r="M34" s="789" t="str">
        <f>IF($B34=0,"",_xlfn.XLOOKUP($B34,INPUT_DATA!$BQ:$BQ,INPUT_DATA!CF:CF))</f>
        <v/>
      </c>
      <c r="N34" s="789" t="str">
        <f>IF($B34=0,"",_xlfn.XLOOKUP($B34,INPUT_DATA!$BQ:$BQ,INPUT_DATA!CG:CG))</f>
        <v/>
      </c>
      <c r="O34" s="789" t="str">
        <f>IF($B34=0,"",_xlfn.XLOOKUP($B34,INPUT_DATA!$BQ:$BQ,INPUT_DATA!CH:CH))</f>
        <v/>
      </c>
    </row>
    <row r="35" spans="2:15" x14ac:dyDescent="0.25">
      <c r="B35" s="785">
        <f>'03 - Monthly Asset Follow up'!B40</f>
        <v>0</v>
      </c>
      <c r="C35" s="417" t="str">
        <f>IF($B35=0,"",_xlfn.XLOOKUP($B35,INPUT_DATA!$BQ:$BQ,INPUT_DATA!BR:BR))</f>
        <v/>
      </c>
      <c r="D35" s="417" t="str">
        <f>IF($B35=0,"",_xlfn.XLOOKUP($B35,INPUT_DATA!$BQ:$BQ,INPUT_DATA!BS:BS))</f>
        <v/>
      </c>
      <c r="E35" s="417" t="str">
        <f>IF($B35=0,"",_xlfn.XLOOKUP($B35,INPUT_DATA!$BQ:$BQ,INPUT_DATA!BT:BT))</f>
        <v/>
      </c>
      <c r="F35" s="417" t="str">
        <f>IF($B35=0,"",_xlfn.XLOOKUP($B35,INPUT_DATA!$BQ:$BQ,INPUT_DATA!BU:BU))</f>
        <v/>
      </c>
      <c r="G35" s="417" t="str">
        <f>IF($B35=0,"",_xlfn.XLOOKUP($B35,INPUT_DATA!$BQ:$BQ,INPUT_DATA!BV:BV))</f>
        <v/>
      </c>
      <c r="H35" s="417" t="str">
        <f>IF($B35=0,"",_xlfn.XLOOKUP($B35,INPUT_DATA!$BQ:$BQ,INPUT_DATA!BW:BW))</f>
        <v/>
      </c>
      <c r="I35" s="417" t="str">
        <f>IF($B35=0,"",_xlfn.XLOOKUP($B35,INPUT_DATA!$BQ:$BQ,INPUT_DATA!BX:BX))</f>
        <v/>
      </c>
      <c r="J35" s="417" t="str">
        <f>IF($B35=0,"",_xlfn.XLOOKUP($B35,INPUT_DATA!$BQ:$BQ,INPUT_DATA!BY:BY))</f>
        <v/>
      </c>
      <c r="K35" s="789" t="str">
        <f>IF($B35=0,"",_xlfn.XLOOKUP($B35,INPUT_DATA!$BQ:$BQ,INPUT_DATA!CD:CD))</f>
        <v/>
      </c>
      <c r="L35" s="789" t="str">
        <f>IF($B35=0,"",_xlfn.XLOOKUP($B35,INPUT_DATA!$BQ:$BQ,INPUT_DATA!CE:CE))</f>
        <v/>
      </c>
      <c r="M35" s="789" t="str">
        <f>IF($B35=0,"",_xlfn.XLOOKUP($B35,INPUT_DATA!$BQ:$BQ,INPUT_DATA!CF:CF))</f>
        <v/>
      </c>
      <c r="N35" s="789" t="str">
        <f>IF($B35=0,"",_xlfn.XLOOKUP($B35,INPUT_DATA!$BQ:$BQ,INPUT_DATA!CG:CG))</f>
        <v/>
      </c>
      <c r="O35" s="789" t="str">
        <f>IF($B35=0,"",_xlfn.XLOOKUP($B35,INPUT_DATA!$BQ:$BQ,INPUT_DATA!CH:CH))</f>
        <v/>
      </c>
    </row>
    <row r="36" spans="2:15" x14ac:dyDescent="0.25">
      <c r="B36" s="785">
        <f>'03 - Monthly Asset Follow up'!B41</f>
        <v>0</v>
      </c>
      <c r="C36" s="417" t="str">
        <f>IF($B36=0,"",_xlfn.XLOOKUP($B36,INPUT_DATA!$BQ:$BQ,INPUT_DATA!BR:BR))</f>
        <v/>
      </c>
      <c r="D36" s="417" t="str">
        <f>IF($B36=0,"",_xlfn.XLOOKUP($B36,INPUT_DATA!$BQ:$BQ,INPUT_DATA!BS:BS))</f>
        <v/>
      </c>
      <c r="E36" s="417" t="str">
        <f>IF($B36=0,"",_xlfn.XLOOKUP($B36,INPUT_DATA!$BQ:$BQ,INPUT_DATA!BT:BT))</f>
        <v/>
      </c>
      <c r="F36" s="417" t="str">
        <f>IF($B36=0,"",_xlfn.XLOOKUP($B36,INPUT_DATA!$BQ:$BQ,INPUT_DATA!BU:BU))</f>
        <v/>
      </c>
      <c r="G36" s="417" t="str">
        <f>IF($B36=0,"",_xlfn.XLOOKUP($B36,INPUT_DATA!$BQ:$BQ,INPUT_DATA!BV:BV))</f>
        <v/>
      </c>
      <c r="H36" s="417" t="str">
        <f>IF($B36=0,"",_xlfn.XLOOKUP($B36,INPUT_DATA!$BQ:$BQ,INPUT_DATA!BW:BW))</f>
        <v/>
      </c>
      <c r="I36" s="417" t="str">
        <f>IF($B36=0,"",_xlfn.XLOOKUP($B36,INPUT_DATA!$BQ:$BQ,INPUT_DATA!BX:BX))</f>
        <v/>
      </c>
      <c r="J36" s="417" t="str">
        <f>IF($B36=0,"",_xlfn.XLOOKUP($B36,INPUT_DATA!$BQ:$BQ,INPUT_DATA!BY:BY))</f>
        <v/>
      </c>
      <c r="K36" s="789" t="str">
        <f>IF($B36=0,"",_xlfn.XLOOKUP($B36,INPUT_DATA!$BQ:$BQ,INPUT_DATA!CD:CD))</f>
        <v/>
      </c>
      <c r="L36" s="789" t="str">
        <f>IF($B36=0,"",_xlfn.XLOOKUP($B36,INPUT_DATA!$BQ:$BQ,INPUT_DATA!CE:CE))</f>
        <v/>
      </c>
      <c r="M36" s="789" t="str">
        <f>IF($B36=0,"",_xlfn.XLOOKUP($B36,INPUT_DATA!$BQ:$BQ,INPUT_DATA!CF:CF))</f>
        <v/>
      </c>
      <c r="N36" s="789" t="str">
        <f>IF($B36=0,"",_xlfn.XLOOKUP($B36,INPUT_DATA!$BQ:$BQ,INPUT_DATA!CG:CG))</f>
        <v/>
      </c>
      <c r="O36" s="789" t="str">
        <f>IF($B36=0,"",_xlfn.XLOOKUP($B36,INPUT_DATA!$BQ:$BQ,INPUT_DATA!CH:CH))</f>
        <v/>
      </c>
    </row>
    <row r="37" spans="2:15" x14ac:dyDescent="0.25">
      <c r="B37" s="785">
        <f>'03 - Monthly Asset Follow up'!B42</f>
        <v>0</v>
      </c>
      <c r="C37" s="417" t="str">
        <f>IF($B37=0,"",_xlfn.XLOOKUP($B37,INPUT_DATA!$BQ:$BQ,INPUT_DATA!BR:BR))</f>
        <v/>
      </c>
      <c r="D37" s="417" t="str">
        <f>IF($B37=0,"",_xlfn.XLOOKUP($B37,INPUT_DATA!$BQ:$BQ,INPUT_DATA!BS:BS))</f>
        <v/>
      </c>
      <c r="E37" s="417" t="str">
        <f>IF($B37=0,"",_xlfn.XLOOKUP($B37,INPUT_DATA!$BQ:$BQ,INPUT_DATA!BT:BT))</f>
        <v/>
      </c>
      <c r="F37" s="417" t="str">
        <f>IF($B37=0,"",_xlfn.XLOOKUP($B37,INPUT_DATA!$BQ:$BQ,INPUT_DATA!BU:BU))</f>
        <v/>
      </c>
      <c r="G37" s="417" t="str">
        <f>IF($B37=0,"",_xlfn.XLOOKUP($B37,INPUT_DATA!$BQ:$BQ,INPUT_DATA!BV:BV))</f>
        <v/>
      </c>
      <c r="H37" s="417" t="str">
        <f>IF($B37=0,"",_xlfn.XLOOKUP($B37,INPUT_DATA!$BQ:$BQ,INPUT_DATA!BW:BW))</f>
        <v/>
      </c>
      <c r="I37" s="417" t="str">
        <f>IF($B37=0,"",_xlfn.XLOOKUP($B37,INPUT_DATA!$BQ:$BQ,INPUT_DATA!BX:BX))</f>
        <v/>
      </c>
      <c r="J37" s="417" t="str">
        <f>IF($B37=0,"",_xlfn.XLOOKUP($B37,INPUT_DATA!$BQ:$BQ,INPUT_DATA!BY:BY))</f>
        <v/>
      </c>
      <c r="K37" s="789" t="str">
        <f>IF($B37=0,"",_xlfn.XLOOKUP($B37,INPUT_DATA!$BQ:$BQ,INPUT_DATA!CD:CD))</f>
        <v/>
      </c>
      <c r="L37" s="789" t="str">
        <f>IF($B37=0,"",_xlfn.XLOOKUP($B37,INPUT_DATA!$BQ:$BQ,INPUT_DATA!CE:CE))</f>
        <v/>
      </c>
      <c r="M37" s="789" t="str">
        <f>IF($B37=0,"",_xlfn.XLOOKUP($B37,INPUT_DATA!$BQ:$BQ,INPUT_DATA!CF:CF))</f>
        <v/>
      </c>
      <c r="N37" s="789" t="str">
        <f>IF($B37=0,"",_xlfn.XLOOKUP($B37,INPUT_DATA!$BQ:$BQ,INPUT_DATA!CG:CG))</f>
        <v/>
      </c>
      <c r="O37" s="789" t="str">
        <f>IF($B37=0,"",_xlfn.XLOOKUP($B37,INPUT_DATA!$BQ:$BQ,INPUT_DATA!CH:CH))</f>
        <v/>
      </c>
    </row>
    <row r="38" spans="2:15" x14ac:dyDescent="0.25">
      <c r="B38" s="785">
        <f>'03 - Monthly Asset Follow up'!B43</f>
        <v>0</v>
      </c>
      <c r="C38" s="417" t="str">
        <f>IF($B38=0,"",_xlfn.XLOOKUP($B38,INPUT_DATA!$BQ:$BQ,INPUT_DATA!BR:BR))</f>
        <v/>
      </c>
      <c r="D38" s="417" t="str">
        <f>IF($B38=0,"",_xlfn.XLOOKUP($B38,INPUT_DATA!$BQ:$BQ,INPUT_DATA!BS:BS))</f>
        <v/>
      </c>
      <c r="E38" s="417" t="str">
        <f>IF($B38=0,"",_xlfn.XLOOKUP($B38,INPUT_DATA!$BQ:$BQ,INPUT_DATA!BT:BT))</f>
        <v/>
      </c>
      <c r="F38" s="417" t="str">
        <f>IF($B38=0,"",_xlfn.XLOOKUP($B38,INPUT_DATA!$BQ:$BQ,INPUT_DATA!BU:BU))</f>
        <v/>
      </c>
      <c r="G38" s="417" t="str">
        <f>IF($B38=0,"",_xlfn.XLOOKUP($B38,INPUT_DATA!$BQ:$BQ,INPUT_DATA!BV:BV))</f>
        <v/>
      </c>
      <c r="H38" s="417" t="str">
        <f>IF($B38=0,"",_xlfn.XLOOKUP($B38,INPUT_DATA!$BQ:$BQ,INPUT_DATA!BW:BW))</f>
        <v/>
      </c>
      <c r="I38" s="417" t="str">
        <f>IF($B38=0,"",_xlfn.XLOOKUP($B38,INPUT_DATA!$BQ:$BQ,INPUT_DATA!BX:BX))</f>
        <v/>
      </c>
      <c r="J38" s="417" t="str">
        <f>IF($B38=0,"",_xlfn.XLOOKUP($B38,INPUT_DATA!$BQ:$BQ,INPUT_DATA!BY:BY))</f>
        <v/>
      </c>
      <c r="K38" s="789" t="str">
        <f>IF($B38=0,"",_xlfn.XLOOKUP($B38,INPUT_DATA!$BQ:$BQ,INPUT_DATA!CD:CD))</f>
        <v/>
      </c>
      <c r="L38" s="789" t="str">
        <f>IF($B38=0,"",_xlfn.XLOOKUP($B38,INPUT_DATA!$BQ:$BQ,INPUT_DATA!CE:CE))</f>
        <v/>
      </c>
      <c r="M38" s="789" t="str">
        <f>IF($B38=0,"",_xlfn.XLOOKUP($B38,INPUT_DATA!$BQ:$BQ,INPUT_DATA!CF:CF))</f>
        <v/>
      </c>
      <c r="N38" s="789" t="str">
        <f>IF($B38=0,"",_xlfn.XLOOKUP($B38,INPUT_DATA!$BQ:$BQ,INPUT_DATA!CG:CG))</f>
        <v/>
      </c>
      <c r="O38" s="789" t="str">
        <f>IF($B38=0,"",_xlfn.XLOOKUP($B38,INPUT_DATA!$BQ:$BQ,INPUT_DATA!CH:CH))</f>
        <v/>
      </c>
    </row>
    <row r="39" spans="2:15" x14ac:dyDescent="0.25">
      <c r="B39" s="785">
        <f>'03 - Monthly Asset Follow up'!B44</f>
        <v>0</v>
      </c>
      <c r="C39" s="417" t="str">
        <f>IF($B39=0,"",_xlfn.XLOOKUP($B39,INPUT_DATA!$BQ:$BQ,INPUT_DATA!BR:BR))</f>
        <v/>
      </c>
      <c r="D39" s="417" t="str">
        <f>IF($B39=0,"",_xlfn.XLOOKUP($B39,INPUT_DATA!$BQ:$BQ,INPUT_DATA!BS:BS))</f>
        <v/>
      </c>
      <c r="E39" s="417" t="str">
        <f>IF($B39=0,"",_xlfn.XLOOKUP($B39,INPUT_DATA!$BQ:$BQ,INPUT_DATA!BT:BT))</f>
        <v/>
      </c>
      <c r="F39" s="417" t="str">
        <f>IF($B39=0,"",_xlfn.XLOOKUP($B39,INPUT_DATA!$BQ:$BQ,INPUT_DATA!BU:BU))</f>
        <v/>
      </c>
      <c r="G39" s="417" t="str">
        <f>IF($B39=0,"",_xlfn.XLOOKUP($B39,INPUT_DATA!$BQ:$BQ,INPUT_DATA!BV:BV))</f>
        <v/>
      </c>
      <c r="H39" s="417" t="str">
        <f>IF($B39=0,"",_xlfn.XLOOKUP($B39,INPUT_DATA!$BQ:$BQ,INPUT_DATA!BW:BW))</f>
        <v/>
      </c>
      <c r="I39" s="417" t="str">
        <f>IF($B39=0,"",_xlfn.XLOOKUP($B39,INPUT_DATA!$BQ:$BQ,INPUT_DATA!BX:BX))</f>
        <v/>
      </c>
      <c r="J39" s="417" t="str">
        <f>IF($B39=0,"",_xlfn.XLOOKUP($B39,INPUT_DATA!$BQ:$BQ,INPUT_DATA!BY:BY))</f>
        <v/>
      </c>
      <c r="K39" s="789" t="str">
        <f>IF($B39=0,"",_xlfn.XLOOKUP($B39,INPUT_DATA!$BQ:$BQ,INPUT_DATA!CD:CD))</f>
        <v/>
      </c>
      <c r="L39" s="789" t="str">
        <f>IF($B39=0,"",_xlfn.XLOOKUP($B39,INPUT_DATA!$BQ:$BQ,INPUT_DATA!CE:CE))</f>
        <v/>
      </c>
      <c r="M39" s="789" t="str">
        <f>IF($B39=0,"",_xlfn.XLOOKUP($B39,INPUT_DATA!$BQ:$BQ,INPUT_DATA!CF:CF))</f>
        <v/>
      </c>
      <c r="N39" s="789" t="str">
        <f>IF($B39=0,"",_xlfn.XLOOKUP($B39,INPUT_DATA!$BQ:$BQ,INPUT_DATA!CG:CG))</f>
        <v/>
      </c>
      <c r="O39" s="789" t="str">
        <f>IF($B39=0,"",_xlfn.XLOOKUP($B39,INPUT_DATA!$BQ:$BQ,INPUT_DATA!CH:CH))</f>
        <v/>
      </c>
    </row>
    <row r="40" spans="2:15" x14ac:dyDescent="0.25">
      <c r="B40" s="785">
        <f>'03 - Monthly Asset Follow up'!B45</f>
        <v>0</v>
      </c>
      <c r="C40" s="417" t="str">
        <f>IF($B40=0,"",_xlfn.XLOOKUP($B40,INPUT_DATA!$BQ:$BQ,INPUT_DATA!BR:BR))</f>
        <v/>
      </c>
      <c r="D40" s="417" t="str">
        <f>IF($B40=0,"",_xlfn.XLOOKUP($B40,INPUT_DATA!$BQ:$BQ,INPUT_DATA!BS:BS))</f>
        <v/>
      </c>
      <c r="E40" s="417" t="str">
        <f>IF($B40=0,"",_xlfn.XLOOKUP($B40,INPUT_DATA!$BQ:$BQ,INPUT_DATA!BT:BT))</f>
        <v/>
      </c>
      <c r="F40" s="417" t="str">
        <f>IF($B40=0,"",_xlfn.XLOOKUP($B40,INPUT_DATA!$BQ:$BQ,INPUT_DATA!BU:BU))</f>
        <v/>
      </c>
      <c r="G40" s="417" t="str">
        <f>IF($B40=0,"",_xlfn.XLOOKUP($B40,INPUT_DATA!$BQ:$BQ,INPUT_DATA!BV:BV))</f>
        <v/>
      </c>
      <c r="H40" s="417" t="str">
        <f>IF($B40=0,"",_xlfn.XLOOKUP($B40,INPUT_DATA!$BQ:$BQ,INPUT_DATA!BW:BW))</f>
        <v/>
      </c>
      <c r="I40" s="417" t="str">
        <f>IF($B40=0,"",_xlfn.XLOOKUP($B40,INPUT_DATA!$BQ:$BQ,INPUT_DATA!BX:BX))</f>
        <v/>
      </c>
      <c r="J40" s="417" t="str">
        <f>IF($B40=0,"",_xlfn.XLOOKUP($B40,INPUT_DATA!$BQ:$BQ,INPUT_DATA!BY:BY))</f>
        <v/>
      </c>
      <c r="K40" s="789" t="str">
        <f>IF($B40=0,"",_xlfn.XLOOKUP($B40,INPUT_DATA!$BQ:$BQ,INPUT_DATA!CD:CD))</f>
        <v/>
      </c>
      <c r="L40" s="789" t="str">
        <f>IF($B40=0,"",_xlfn.XLOOKUP($B40,INPUT_DATA!$BQ:$BQ,INPUT_DATA!CE:CE))</f>
        <v/>
      </c>
      <c r="M40" s="789" t="str">
        <f>IF($B40=0,"",_xlfn.XLOOKUP($B40,INPUT_DATA!$BQ:$BQ,INPUT_DATA!CF:CF))</f>
        <v/>
      </c>
      <c r="N40" s="789" t="str">
        <f>IF($B40=0,"",_xlfn.XLOOKUP($B40,INPUT_DATA!$BQ:$BQ,INPUT_DATA!CG:CG))</f>
        <v/>
      </c>
      <c r="O40" s="789" t="str">
        <f>IF($B40=0,"",_xlfn.XLOOKUP($B40,INPUT_DATA!$BQ:$BQ,INPUT_DATA!CH:CH))</f>
        <v/>
      </c>
    </row>
    <row r="41" spans="2:15" x14ac:dyDescent="0.25">
      <c r="B41" s="785">
        <f>'03 - Monthly Asset Follow up'!B46</f>
        <v>0</v>
      </c>
      <c r="C41" s="417" t="str">
        <f>IF($B41=0,"",_xlfn.XLOOKUP($B41,INPUT_DATA!$BQ:$BQ,INPUT_DATA!BR:BR))</f>
        <v/>
      </c>
      <c r="D41" s="417" t="str">
        <f>IF($B41=0,"",_xlfn.XLOOKUP($B41,INPUT_DATA!$BQ:$BQ,INPUT_DATA!BS:BS))</f>
        <v/>
      </c>
      <c r="E41" s="417" t="str">
        <f>IF($B41=0,"",_xlfn.XLOOKUP($B41,INPUT_DATA!$BQ:$BQ,INPUT_DATA!BT:BT))</f>
        <v/>
      </c>
      <c r="F41" s="417" t="str">
        <f>IF($B41=0,"",_xlfn.XLOOKUP($B41,INPUT_DATA!$BQ:$BQ,INPUT_DATA!BU:BU))</f>
        <v/>
      </c>
      <c r="G41" s="417" t="str">
        <f>IF($B41=0,"",_xlfn.XLOOKUP($B41,INPUT_DATA!$BQ:$BQ,INPUT_DATA!BV:BV))</f>
        <v/>
      </c>
      <c r="H41" s="417" t="str">
        <f>IF($B41=0,"",_xlfn.XLOOKUP($B41,INPUT_DATA!$BQ:$BQ,INPUT_DATA!BW:BW))</f>
        <v/>
      </c>
      <c r="I41" s="417" t="str">
        <f>IF($B41=0,"",_xlfn.XLOOKUP($B41,INPUT_DATA!$BQ:$BQ,INPUT_DATA!BX:BX))</f>
        <v/>
      </c>
      <c r="J41" s="417" t="str">
        <f>IF($B41=0,"",_xlfn.XLOOKUP($B41,INPUT_DATA!$BQ:$BQ,INPUT_DATA!BY:BY))</f>
        <v/>
      </c>
      <c r="K41" s="789" t="str">
        <f>IF($B41=0,"",_xlfn.XLOOKUP($B41,INPUT_DATA!$BQ:$BQ,INPUT_DATA!CD:CD))</f>
        <v/>
      </c>
      <c r="L41" s="789" t="str">
        <f>IF($B41=0,"",_xlfn.XLOOKUP($B41,INPUT_DATA!$BQ:$BQ,INPUT_DATA!CE:CE))</f>
        <v/>
      </c>
      <c r="M41" s="789" t="str">
        <f>IF($B41=0,"",_xlfn.XLOOKUP($B41,INPUT_DATA!$BQ:$BQ,INPUT_DATA!CF:CF))</f>
        <v/>
      </c>
      <c r="N41" s="789" t="str">
        <f>IF($B41=0,"",_xlfn.XLOOKUP($B41,INPUT_DATA!$BQ:$BQ,INPUT_DATA!CG:CG))</f>
        <v/>
      </c>
      <c r="O41" s="789" t="str">
        <f>IF($B41=0,"",_xlfn.XLOOKUP($B41,INPUT_DATA!$BQ:$BQ,INPUT_DATA!CH:CH))</f>
        <v/>
      </c>
    </row>
    <row r="42" spans="2:15" x14ac:dyDescent="0.25">
      <c r="B42" s="785">
        <f>'03 - Monthly Asset Follow up'!B47</f>
        <v>0</v>
      </c>
      <c r="C42" s="417" t="str">
        <f>IF($B42=0,"",_xlfn.XLOOKUP($B42,INPUT_DATA!$BQ:$BQ,INPUT_DATA!BR:BR))</f>
        <v/>
      </c>
      <c r="D42" s="417" t="str">
        <f>IF($B42=0,"",_xlfn.XLOOKUP($B42,INPUT_DATA!$BQ:$BQ,INPUT_DATA!BS:BS))</f>
        <v/>
      </c>
      <c r="E42" s="417" t="str">
        <f>IF($B42=0,"",_xlfn.XLOOKUP($B42,INPUT_DATA!$BQ:$BQ,INPUT_DATA!BT:BT))</f>
        <v/>
      </c>
      <c r="F42" s="417" t="str">
        <f>IF($B42=0,"",_xlfn.XLOOKUP($B42,INPUT_DATA!$BQ:$BQ,INPUT_DATA!BU:BU))</f>
        <v/>
      </c>
      <c r="G42" s="417" t="str">
        <f>IF($B42=0,"",_xlfn.XLOOKUP($B42,INPUT_DATA!$BQ:$BQ,INPUT_DATA!BV:BV))</f>
        <v/>
      </c>
      <c r="H42" s="417" t="str">
        <f>IF($B42=0,"",_xlfn.XLOOKUP($B42,INPUT_DATA!$BQ:$BQ,INPUT_DATA!BW:BW))</f>
        <v/>
      </c>
      <c r="I42" s="417" t="str">
        <f>IF($B42=0,"",_xlfn.XLOOKUP($B42,INPUT_DATA!$BQ:$BQ,INPUT_DATA!BX:BX))</f>
        <v/>
      </c>
      <c r="J42" s="417" t="str">
        <f>IF($B42=0,"",_xlfn.XLOOKUP($B42,INPUT_DATA!$BQ:$BQ,INPUT_DATA!BY:BY))</f>
        <v/>
      </c>
      <c r="K42" s="789" t="str">
        <f>IF($B42=0,"",_xlfn.XLOOKUP($B42,INPUT_DATA!$BQ:$BQ,INPUT_DATA!CD:CD))</f>
        <v/>
      </c>
      <c r="L42" s="789" t="str">
        <f>IF($B42=0,"",_xlfn.XLOOKUP($B42,INPUT_DATA!$BQ:$BQ,INPUT_DATA!CE:CE))</f>
        <v/>
      </c>
      <c r="M42" s="789" t="str">
        <f>IF($B42=0,"",_xlfn.XLOOKUP($B42,INPUT_DATA!$BQ:$BQ,INPUT_DATA!CF:CF))</f>
        <v/>
      </c>
      <c r="N42" s="789" t="str">
        <f>IF($B42=0,"",_xlfn.XLOOKUP($B42,INPUT_DATA!$BQ:$BQ,INPUT_DATA!CG:CG))</f>
        <v/>
      </c>
      <c r="O42" s="789" t="str">
        <f>IF($B42=0,"",_xlfn.XLOOKUP($B42,INPUT_DATA!$BQ:$BQ,INPUT_DATA!CH:CH))</f>
        <v/>
      </c>
    </row>
    <row r="43" spans="2:15" x14ac:dyDescent="0.25">
      <c r="B43" s="785">
        <f>'03 - Monthly Asset Follow up'!B48</f>
        <v>0</v>
      </c>
      <c r="C43" s="417" t="str">
        <f>IF($B43=0,"",_xlfn.XLOOKUP($B43,INPUT_DATA!$BQ:$BQ,INPUT_DATA!BR:BR))</f>
        <v/>
      </c>
      <c r="D43" s="417" t="str">
        <f>IF($B43=0,"",_xlfn.XLOOKUP($B43,INPUT_DATA!$BQ:$BQ,INPUT_DATA!BS:BS))</f>
        <v/>
      </c>
      <c r="E43" s="417" t="str">
        <f>IF($B43=0,"",_xlfn.XLOOKUP($B43,INPUT_DATA!$BQ:$BQ,INPUT_DATA!BT:BT))</f>
        <v/>
      </c>
      <c r="F43" s="417" t="str">
        <f>IF($B43=0,"",_xlfn.XLOOKUP($B43,INPUT_DATA!$BQ:$BQ,INPUT_DATA!BU:BU))</f>
        <v/>
      </c>
      <c r="G43" s="417" t="str">
        <f>IF($B43=0,"",_xlfn.XLOOKUP($B43,INPUT_DATA!$BQ:$BQ,INPUT_DATA!BV:BV))</f>
        <v/>
      </c>
      <c r="H43" s="417" t="str">
        <f>IF($B43=0,"",_xlfn.XLOOKUP($B43,INPUT_DATA!$BQ:$BQ,INPUT_DATA!BW:BW))</f>
        <v/>
      </c>
      <c r="I43" s="417" t="str">
        <f>IF($B43=0,"",_xlfn.XLOOKUP($B43,INPUT_DATA!$BQ:$BQ,INPUT_DATA!BX:BX))</f>
        <v/>
      </c>
      <c r="J43" s="417" t="str">
        <f>IF($B43=0,"",_xlfn.XLOOKUP($B43,INPUT_DATA!$BQ:$BQ,INPUT_DATA!BY:BY))</f>
        <v/>
      </c>
      <c r="K43" s="789" t="str">
        <f>IF($B43=0,"",_xlfn.XLOOKUP($B43,INPUT_DATA!$BQ:$BQ,INPUT_DATA!CD:CD))</f>
        <v/>
      </c>
      <c r="L43" s="789" t="str">
        <f>IF($B43=0,"",_xlfn.XLOOKUP($B43,INPUT_DATA!$BQ:$BQ,INPUT_DATA!CE:CE))</f>
        <v/>
      </c>
      <c r="M43" s="789" t="str">
        <f>IF($B43=0,"",_xlfn.XLOOKUP($B43,INPUT_DATA!$BQ:$BQ,INPUT_DATA!CF:CF))</f>
        <v/>
      </c>
      <c r="N43" s="789" t="str">
        <f>IF($B43=0,"",_xlfn.XLOOKUP($B43,INPUT_DATA!$BQ:$BQ,INPUT_DATA!CG:CG))</f>
        <v/>
      </c>
      <c r="O43" s="789" t="str">
        <f>IF($B43=0,"",_xlfn.XLOOKUP($B43,INPUT_DATA!$BQ:$BQ,INPUT_DATA!CH:CH))</f>
        <v/>
      </c>
    </row>
    <row r="44" spans="2:15" x14ac:dyDescent="0.25">
      <c r="B44" s="785">
        <f>'03 - Monthly Asset Follow up'!B49</f>
        <v>0</v>
      </c>
      <c r="C44" s="417" t="str">
        <f>IF($B44=0,"",_xlfn.XLOOKUP($B44,INPUT_DATA!$BQ:$BQ,INPUT_DATA!BR:BR))</f>
        <v/>
      </c>
      <c r="D44" s="417" t="str">
        <f>IF($B44=0,"",_xlfn.XLOOKUP($B44,INPUT_DATA!$BQ:$BQ,INPUT_DATA!BS:BS))</f>
        <v/>
      </c>
      <c r="E44" s="417" t="str">
        <f>IF($B44=0,"",_xlfn.XLOOKUP($B44,INPUT_DATA!$BQ:$BQ,INPUT_DATA!BT:BT))</f>
        <v/>
      </c>
      <c r="F44" s="417" t="str">
        <f>IF($B44=0,"",_xlfn.XLOOKUP($B44,INPUT_DATA!$BQ:$BQ,INPUT_DATA!BU:BU))</f>
        <v/>
      </c>
      <c r="G44" s="417" t="str">
        <f>IF($B44=0,"",_xlfn.XLOOKUP($B44,INPUT_DATA!$BQ:$BQ,INPUT_DATA!BV:BV))</f>
        <v/>
      </c>
      <c r="H44" s="417" t="str">
        <f>IF($B44=0,"",_xlfn.XLOOKUP($B44,INPUT_DATA!$BQ:$BQ,INPUT_DATA!BW:BW))</f>
        <v/>
      </c>
      <c r="I44" s="417" t="str">
        <f>IF($B44=0,"",_xlfn.XLOOKUP($B44,INPUT_DATA!$BQ:$BQ,INPUT_DATA!BX:BX))</f>
        <v/>
      </c>
      <c r="J44" s="417" t="str">
        <f>IF($B44=0,"",_xlfn.XLOOKUP($B44,INPUT_DATA!$BQ:$BQ,INPUT_DATA!BY:BY))</f>
        <v/>
      </c>
      <c r="K44" s="789" t="str">
        <f>IF($B44=0,"",_xlfn.XLOOKUP($B44,INPUT_DATA!$BQ:$BQ,INPUT_DATA!CD:CD))</f>
        <v/>
      </c>
      <c r="L44" s="789" t="str">
        <f>IF($B44=0,"",_xlfn.XLOOKUP($B44,INPUT_DATA!$BQ:$BQ,INPUT_DATA!CE:CE))</f>
        <v/>
      </c>
      <c r="M44" s="789" t="str">
        <f>IF($B44=0,"",_xlfn.XLOOKUP($B44,INPUT_DATA!$BQ:$BQ,INPUT_DATA!CF:CF))</f>
        <v/>
      </c>
      <c r="N44" s="789" t="str">
        <f>IF($B44=0,"",_xlfn.XLOOKUP($B44,INPUT_DATA!$BQ:$BQ,INPUT_DATA!CG:CG))</f>
        <v/>
      </c>
      <c r="O44" s="789" t="str">
        <f>IF($B44=0,"",_xlfn.XLOOKUP($B44,INPUT_DATA!$BQ:$BQ,INPUT_DATA!CH:CH))</f>
        <v/>
      </c>
    </row>
    <row r="45" spans="2:15" x14ac:dyDescent="0.25">
      <c r="B45" s="785">
        <f>'03 - Monthly Asset Follow up'!B50</f>
        <v>0</v>
      </c>
      <c r="C45" s="417" t="str">
        <f>IF($B45=0,"",_xlfn.XLOOKUP($B45,INPUT_DATA!$BQ:$BQ,INPUT_DATA!BR:BR))</f>
        <v/>
      </c>
      <c r="D45" s="417" t="str">
        <f>IF($B45=0,"",_xlfn.XLOOKUP($B45,INPUT_DATA!$BQ:$BQ,INPUT_DATA!BS:BS))</f>
        <v/>
      </c>
      <c r="E45" s="417" t="str">
        <f>IF($B45=0,"",_xlfn.XLOOKUP($B45,INPUT_DATA!$BQ:$BQ,INPUT_DATA!BT:BT))</f>
        <v/>
      </c>
      <c r="F45" s="417" t="str">
        <f>IF($B45=0,"",_xlfn.XLOOKUP($B45,INPUT_DATA!$BQ:$BQ,INPUT_DATA!BU:BU))</f>
        <v/>
      </c>
      <c r="G45" s="417" t="str">
        <f>IF($B45=0,"",_xlfn.XLOOKUP($B45,INPUT_DATA!$BQ:$BQ,INPUT_DATA!BV:BV))</f>
        <v/>
      </c>
      <c r="H45" s="417" t="str">
        <f>IF($B45=0,"",_xlfn.XLOOKUP($B45,INPUT_DATA!$BQ:$BQ,INPUT_DATA!BW:BW))</f>
        <v/>
      </c>
      <c r="I45" s="417" t="str">
        <f>IF($B45=0,"",_xlfn.XLOOKUP($B45,INPUT_DATA!$BQ:$BQ,INPUT_DATA!BX:BX))</f>
        <v/>
      </c>
      <c r="J45" s="417" t="str">
        <f>IF($B45=0,"",_xlfn.XLOOKUP($B45,INPUT_DATA!$BQ:$BQ,INPUT_DATA!BY:BY))</f>
        <v/>
      </c>
      <c r="K45" s="789" t="str">
        <f>IF($B45=0,"",_xlfn.XLOOKUP($B45,INPUT_DATA!$BQ:$BQ,INPUT_DATA!CD:CD))</f>
        <v/>
      </c>
      <c r="L45" s="789" t="str">
        <f>IF($B45=0,"",_xlfn.XLOOKUP($B45,INPUT_DATA!$BQ:$BQ,INPUT_DATA!CE:CE))</f>
        <v/>
      </c>
      <c r="M45" s="789" t="str">
        <f>IF($B45=0,"",_xlfn.XLOOKUP($B45,INPUT_DATA!$BQ:$BQ,INPUT_DATA!CF:CF))</f>
        <v/>
      </c>
      <c r="N45" s="789" t="str">
        <f>IF($B45=0,"",_xlfn.XLOOKUP($B45,INPUT_DATA!$BQ:$BQ,INPUT_DATA!CG:CG))</f>
        <v/>
      </c>
      <c r="O45" s="789" t="str">
        <f>IF($B45=0,"",_xlfn.XLOOKUP($B45,INPUT_DATA!$BQ:$BQ,INPUT_DATA!CH:CH))</f>
        <v/>
      </c>
    </row>
    <row r="46" spans="2:15" x14ac:dyDescent="0.25">
      <c r="B46" s="785">
        <f>'03 - Monthly Asset Follow up'!B51</f>
        <v>0</v>
      </c>
      <c r="C46" s="417" t="str">
        <f>IF($B46=0,"",_xlfn.XLOOKUP($B46,INPUT_DATA!$BQ:$BQ,INPUT_DATA!BR:BR))</f>
        <v/>
      </c>
      <c r="D46" s="417" t="str">
        <f>IF($B46=0,"",_xlfn.XLOOKUP($B46,INPUT_DATA!$BQ:$BQ,INPUT_DATA!BS:BS))</f>
        <v/>
      </c>
      <c r="E46" s="417" t="str">
        <f>IF($B46=0,"",_xlfn.XLOOKUP($B46,INPUT_DATA!$BQ:$BQ,INPUT_DATA!BT:BT))</f>
        <v/>
      </c>
      <c r="F46" s="417" t="str">
        <f>IF($B46=0,"",_xlfn.XLOOKUP($B46,INPUT_DATA!$BQ:$BQ,INPUT_DATA!BU:BU))</f>
        <v/>
      </c>
      <c r="G46" s="417" t="str">
        <f>IF($B46=0,"",_xlfn.XLOOKUP($B46,INPUT_DATA!$BQ:$BQ,INPUT_DATA!BV:BV))</f>
        <v/>
      </c>
      <c r="H46" s="417" t="str">
        <f>IF($B46=0,"",_xlfn.XLOOKUP($B46,INPUT_DATA!$BQ:$BQ,INPUT_DATA!BW:BW))</f>
        <v/>
      </c>
      <c r="I46" s="417" t="str">
        <f>IF($B46=0,"",_xlfn.XLOOKUP($B46,INPUT_DATA!$BQ:$BQ,INPUT_DATA!BX:BX))</f>
        <v/>
      </c>
      <c r="J46" s="417" t="str">
        <f>IF($B46=0,"",_xlfn.XLOOKUP($B46,INPUT_DATA!$BQ:$BQ,INPUT_DATA!BY:BY))</f>
        <v/>
      </c>
      <c r="K46" s="789" t="str">
        <f>IF($B46=0,"",_xlfn.XLOOKUP($B46,INPUT_DATA!$BQ:$BQ,INPUT_DATA!CD:CD))</f>
        <v/>
      </c>
      <c r="L46" s="789" t="str">
        <f>IF($B46=0,"",_xlfn.XLOOKUP($B46,INPUT_DATA!$BQ:$BQ,INPUT_DATA!CE:CE))</f>
        <v/>
      </c>
      <c r="M46" s="789" t="str">
        <f>IF($B46=0,"",_xlfn.XLOOKUP($B46,INPUT_DATA!$BQ:$BQ,INPUT_DATA!CF:CF))</f>
        <v/>
      </c>
      <c r="N46" s="789" t="str">
        <f>IF($B46=0,"",_xlfn.XLOOKUP($B46,INPUT_DATA!$BQ:$BQ,INPUT_DATA!CG:CG))</f>
        <v/>
      </c>
      <c r="O46" s="789" t="str">
        <f>IF($B46=0,"",_xlfn.XLOOKUP($B46,INPUT_DATA!$BQ:$BQ,INPUT_DATA!CH:CH))</f>
        <v/>
      </c>
    </row>
    <row r="47" spans="2:15" x14ac:dyDescent="0.25">
      <c r="B47" s="785">
        <f>'03 - Monthly Asset Follow up'!B52</f>
        <v>0</v>
      </c>
      <c r="C47" s="417" t="str">
        <f>IF($B47=0,"",_xlfn.XLOOKUP($B47,INPUT_DATA!$BQ:$BQ,INPUT_DATA!BR:BR))</f>
        <v/>
      </c>
      <c r="D47" s="417" t="str">
        <f>IF($B47=0,"",_xlfn.XLOOKUP($B47,INPUT_DATA!$BQ:$BQ,INPUT_DATA!BS:BS))</f>
        <v/>
      </c>
      <c r="E47" s="417" t="str">
        <f>IF($B47=0,"",_xlfn.XLOOKUP($B47,INPUT_DATA!$BQ:$BQ,INPUT_DATA!BT:BT))</f>
        <v/>
      </c>
      <c r="F47" s="417" t="str">
        <f>IF($B47=0,"",_xlfn.XLOOKUP($B47,INPUT_DATA!$BQ:$BQ,INPUT_DATA!BU:BU))</f>
        <v/>
      </c>
      <c r="G47" s="417" t="str">
        <f>IF($B47=0,"",_xlfn.XLOOKUP($B47,INPUT_DATA!$BQ:$BQ,INPUT_DATA!BV:BV))</f>
        <v/>
      </c>
      <c r="H47" s="417" t="str">
        <f>IF($B47=0,"",_xlfn.XLOOKUP($B47,INPUT_DATA!$BQ:$BQ,INPUT_DATA!BW:BW))</f>
        <v/>
      </c>
      <c r="I47" s="417" t="str">
        <f>IF($B47=0,"",_xlfn.XLOOKUP($B47,INPUT_DATA!$BQ:$BQ,INPUT_DATA!BX:BX))</f>
        <v/>
      </c>
      <c r="J47" s="417" t="str">
        <f>IF($B47=0,"",_xlfn.XLOOKUP($B47,INPUT_DATA!$BQ:$BQ,INPUT_DATA!BY:BY))</f>
        <v/>
      </c>
      <c r="K47" s="789" t="str">
        <f>IF($B47=0,"",_xlfn.XLOOKUP($B47,INPUT_DATA!$BQ:$BQ,INPUT_DATA!CD:CD))</f>
        <v/>
      </c>
      <c r="L47" s="789" t="str">
        <f>IF($B47=0,"",_xlfn.XLOOKUP($B47,INPUT_DATA!$BQ:$BQ,INPUT_DATA!CE:CE))</f>
        <v/>
      </c>
      <c r="M47" s="789" t="str">
        <f>IF($B47=0,"",_xlfn.XLOOKUP($B47,INPUT_DATA!$BQ:$BQ,INPUT_DATA!CF:CF))</f>
        <v/>
      </c>
      <c r="N47" s="789" t="str">
        <f>IF($B47=0,"",_xlfn.XLOOKUP($B47,INPUT_DATA!$BQ:$BQ,INPUT_DATA!CG:CG))</f>
        <v/>
      </c>
      <c r="O47" s="789" t="str">
        <f>IF($B47=0,"",_xlfn.XLOOKUP($B47,INPUT_DATA!$BQ:$BQ,INPUT_DATA!CH:CH))</f>
        <v/>
      </c>
    </row>
    <row r="48" spans="2:15" x14ac:dyDescent="0.25">
      <c r="B48" s="785">
        <f>'03 - Monthly Asset Follow up'!B53</f>
        <v>0</v>
      </c>
      <c r="C48" s="417" t="str">
        <f>IF($B48=0,"",_xlfn.XLOOKUP($B48,INPUT_DATA!$BQ:$BQ,INPUT_DATA!BR:BR))</f>
        <v/>
      </c>
      <c r="D48" s="417" t="str">
        <f>IF($B48=0,"",_xlfn.XLOOKUP($B48,INPUT_DATA!$BQ:$BQ,INPUT_DATA!BS:BS))</f>
        <v/>
      </c>
      <c r="E48" s="417" t="str">
        <f>IF($B48=0,"",_xlfn.XLOOKUP($B48,INPUT_DATA!$BQ:$BQ,INPUT_DATA!BT:BT))</f>
        <v/>
      </c>
      <c r="F48" s="417" t="str">
        <f>IF($B48=0,"",_xlfn.XLOOKUP($B48,INPUT_DATA!$BQ:$BQ,INPUT_DATA!BU:BU))</f>
        <v/>
      </c>
      <c r="G48" s="417" t="str">
        <f>IF($B48=0,"",_xlfn.XLOOKUP($B48,INPUT_DATA!$BQ:$BQ,INPUT_DATA!BV:BV))</f>
        <v/>
      </c>
      <c r="H48" s="417" t="str">
        <f>IF($B48=0,"",_xlfn.XLOOKUP($B48,INPUT_DATA!$BQ:$BQ,INPUT_DATA!BW:BW))</f>
        <v/>
      </c>
      <c r="I48" s="417" t="str">
        <f>IF($B48=0,"",_xlfn.XLOOKUP($B48,INPUT_DATA!$BQ:$BQ,INPUT_DATA!BX:BX))</f>
        <v/>
      </c>
      <c r="J48" s="417" t="str">
        <f>IF($B48=0,"",_xlfn.XLOOKUP($B48,INPUT_DATA!$BQ:$BQ,INPUT_DATA!BY:BY))</f>
        <v/>
      </c>
      <c r="K48" s="789" t="str">
        <f>IF($B48=0,"",_xlfn.XLOOKUP($B48,INPUT_DATA!$BQ:$BQ,INPUT_DATA!CD:CD))</f>
        <v/>
      </c>
      <c r="L48" s="789" t="str">
        <f>IF($B48=0,"",_xlfn.XLOOKUP($B48,INPUT_DATA!$BQ:$BQ,INPUT_DATA!CE:CE))</f>
        <v/>
      </c>
      <c r="M48" s="789" t="str">
        <f>IF($B48=0,"",_xlfn.XLOOKUP($B48,INPUT_DATA!$BQ:$BQ,INPUT_DATA!CF:CF))</f>
        <v/>
      </c>
      <c r="N48" s="789" t="str">
        <f>IF($B48=0,"",_xlfn.XLOOKUP($B48,INPUT_DATA!$BQ:$BQ,INPUT_DATA!CG:CG))</f>
        <v/>
      </c>
      <c r="O48" s="789" t="str">
        <f>IF($B48=0,"",_xlfn.XLOOKUP($B48,INPUT_DATA!$BQ:$BQ,INPUT_DATA!CH:CH))</f>
        <v/>
      </c>
    </row>
    <row r="49" spans="2:15" x14ac:dyDescent="0.25">
      <c r="B49" s="785">
        <f>'03 - Monthly Asset Follow up'!B54</f>
        <v>0</v>
      </c>
      <c r="C49" s="417" t="str">
        <f>IF($B49=0,"",_xlfn.XLOOKUP($B49,INPUT_DATA!$BQ:$BQ,INPUT_DATA!BR:BR))</f>
        <v/>
      </c>
      <c r="D49" s="417" t="str">
        <f>IF($B49=0,"",_xlfn.XLOOKUP($B49,INPUT_DATA!$BQ:$BQ,INPUT_DATA!BS:BS))</f>
        <v/>
      </c>
      <c r="E49" s="417" t="str">
        <f>IF($B49=0,"",_xlfn.XLOOKUP($B49,INPUT_DATA!$BQ:$BQ,INPUT_DATA!BT:BT))</f>
        <v/>
      </c>
      <c r="F49" s="417" t="str">
        <f>IF($B49=0,"",_xlfn.XLOOKUP($B49,INPUT_DATA!$BQ:$BQ,INPUT_DATA!BU:BU))</f>
        <v/>
      </c>
      <c r="G49" s="417" t="str">
        <f>IF($B49=0,"",_xlfn.XLOOKUP($B49,INPUT_DATA!$BQ:$BQ,INPUT_DATA!BV:BV))</f>
        <v/>
      </c>
      <c r="H49" s="417" t="str">
        <f>IF($B49=0,"",_xlfn.XLOOKUP($B49,INPUT_DATA!$BQ:$BQ,INPUT_DATA!BW:BW))</f>
        <v/>
      </c>
      <c r="I49" s="417" t="str">
        <f>IF($B49=0,"",_xlfn.XLOOKUP($B49,INPUT_DATA!$BQ:$BQ,INPUT_DATA!BX:BX))</f>
        <v/>
      </c>
      <c r="J49" s="417" t="str">
        <f>IF($B49=0,"",_xlfn.XLOOKUP($B49,INPUT_DATA!$BQ:$BQ,INPUT_DATA!BY:BY))</f>
        <v/>
      </c>
      <c r="K49" s="789" t="str">
        <f>IF($B49=0,"",_xlfn.XLOOKUP($B49,INPUT_DATA!$BQ:$BQ,INPUT_DATA!CD:CD))</f>
        <v/>
      </c>
      <c r="L49" s="789" t="str">
        <f>IF($B49=0,"",_xlfn.XLOOKUP($B49,INPUT_DATA!$BQ:$BQ,INPUT_DATA!CE:CE))</f>
        <v/>
      </c>
      <c r="M49" s="789" t="str">
        <f>IF($B49=0,"",_xlfn.XLOOKUP($B49,INPUT_DATA!$BQ:$BQ,INPUT_DATA!CF:CF))</f>
        <v/>
      </c>
      <c r="N49" s="789" t="str">
        <f>IF($B49=0,"",_xlfn.XLOOKUP($B49,INPUT_DATA!$BQ:$BQ,INPUT_DATA!CG:CG))</f>
        <v/>
      </c>
      <c r="O49" s="789" t="str">
        <f>IF($B49=0,"",_xlfn.XLOOKUP($B49,INPUT_DATA!$BQ:$BQ,INPUT_DATA!CH:CH))</f>
        <v/>
      </c>
    </row>
    <row r="50" spans="2:15" x14ac:dyDescent="0.25">
      <c r="B50" s="785">
        <f>'03 - Monthly Asset Follow up'!B55</f>
        <v>0</v>
      </c>
      <c r="C50" s="417" t="str">
        <f>IF($B50=0,"",_xlfn.XLOOKUP($B50,INPUT_DATA!$BQ:$BQ,INPUT_DATA!BR:BR))</f>
        <v/>
      </c>
      <c r="D50" s="417" t="str">
        <f>IF($B50=0,"",_xlfn.XLOOKUP($B50,INPUT_DATA!$BQ:$BQ,INPUT_DATA!BS:BS))</f>
        <v/>
      </c>
      <c r="E50" s="417" t="str">
        <f>IF($B50=0,"",_xlfn.XLOOKUP($B50,INPUT_DATA!$BQ:$BQ,INPUT_DATA!BT:BT))</f>
        <v/>
      </c>
      <c r="F50" s="417" t="str">
        <f>IF($B50=0,"",_xlfn.XLOOKUP($B50,INPUT_DATA!$BQ:$BQ,INPUT_DATA!BU:BU))</f>
        <v/>
      </c>
      <c r="G50" s="417" t="str">
        <f>IF($B50=0,"",_xlfn.XLOOKUP($B50,INPUT_DATA!$BQ:$BQ,INPUT_DATA!BV:BV))</f>
        <v/>
      </c>
      <c r="H50" s="417" t="str">
        <f>IF($B50=0,"",_xlfn.XLOOKUP($B50,INPUT_DATA!$BQ:$BQ,INPUT_DATA!BW:BW))</f>
        <v/>
      </c>
      <c r="I50" s="417" t="str">
        <f>IF($B50=0,"",_xlfn.XLOOKUP($B50,INPUT_DATA!$BQ:$BQ,INPUT_DATA!BX:BX))</f>
        <v/>
      </c>
      <c r="J50" s="417" t="str">
        <f>IF($B50=0,"",_xlfn.XLOOKUP($B50,INPUT_DATA!$BQ:$BQ,INPUT_DATA!BY:BY))</f>
        <v/>
      </c>
      <c r="K50" s="789" t="str">
        <f>IF($B50=0,"",_xlfn.XLOOKUP($B50,INPUT_DATA!$BQ:$BQ,INPUT_DATA!CD:CD))</f>
        <v/>
      </c>
      <c r="L50" s="789" t="str">
        <f>IF($B50=0,"",_xlfn.XLOOKUP($B50,INPUT_DATA!$BQ:$BQ,INPUT_DATA!CE:CE))</f>
        <v/>
      </c>
      <c r="M50" s="789" t="str">
        <f>IF($B50=0,"",_xlfn.XLOOKUP($B50,INPUT_DATA!$BQ:$BQ,INPUT_DATA!CF:CF))</f>
        <v/>
      </c>
      <c r="N50" s="789" t="str">
        <f>IF($B50=0,"",_xlfn.XLOOKUP($B50,INPUT_DATA!$BQ:$BQ,INPUT_DATA!CG:CG))</f>
        <v/>
      </c>
      <c r="O50" s="789" t="str">
        <f>IF($B50=0,"",_xlfn.XLOOKUP($B50,INPUT_DATA!$BQ:$BQ,INPUT_DATA!CH:CH))</f>
        <v/>
      </c>
    </row>
    <row r="51" spans="2:15" x14ac:dyDescent="0.25">
      <c r="B51" s="785">
        <f>'03 - Monthly Asset Follow up'!B56</f>
        <v>0</v>
      </c>
      <c r="C51" s="417" t="str">
        <f>IF($B51=0,"",_xlfn.XLOOKUP($B51,INPUT_DATA!$BQ:$BQ,INPUT_DATA!BR:BR))</f>
        <v/>
      </c>
      <c r="D51" s="417" t="str">
        <f>IF($B51=0,"",_xlfn.XLOOKUP($B51,INPUT_DATA!$BQ:$BQ,INPUT_DATA!BS:BS))</f>
        <v/>
      </c>
      <c r="E51" s="417" t="str">
        <f>IF($B51=0,"",_xlfn.XLOOKUP($B51,INPUT_DATA!$BQ:$BQ,INPUT_DATA!BT:BT))</f>
        <v/>
      </c>
      <c r="F51" s="417" t="str">
        <f>IF($B51=0,"",_xlfn.XLOOKUP($B51,INPUT_DATA!$BQ:$BQ,INPUT_DATA!BU:BU))</f>
        <v/>
      </c>
      <c r="G51" s="417" t="str">
        <f>IF($B51=0,"",_xlfn.XLOOKUP($B51,INPUT_DATA!$BQ:$BQ,INPUT_DATA!BV:BV))</f>
        <v/>
      </c>
      <c r="H51" s="417" t="str">
        <f>IF($B51=0,"",_xlfn.XLOOKUP($B51,INPUT_DATA!$BQ:$BQ,INPUT_DATA!BW:BW))</f>
        <v/>
      </c>
      <c r="I51" s="417" t="str">
        <f>IF($B51=0,"",_xlfn.XLOOKUP($B51,INPUT_DATA!$BQ:$BQ,INPUT_DATA!BX:BX))</f>
        <v/>
      </c>
      <c r="J51" s="417" t="str">
        <f>IF($B51=0,"",_xlfn.XLOOKUP($B51,INPUT_DATA!$BQ:$BQ,INPUT_DATA!BY:BY))</f>
        <v/>
      </c>
      <c r="K51" s="789" t="str">
        <f>IF($B51=0,"",_xlfn.XLOOKUP($B51,INPUT_DATA!$BQ:$BQ,INPUT_DATA!CD:CD))</f>
        <v/>
      </c>
      <c r="L51" s="789" t="str">
        <f>IF($B51=0,"",_xlfn.XLOOKUP($B51,INPUT_DATA!$BQ:$BQ,INPUT_DATA!CE:CE))</f>
        <v/>
      </c>
      <c r="M51" s="789" t="str">
        <f>IF($B51=0,"",_xlfn.XLOOKUP($B51,INPUT_DATA!$BQ:$BQ,INPUT_DATA!CF:CF))</f>
        <v/>
      </c>
      <c r="N51" s="789" t="str">
        <f>IF($B51=0,"",_xlfn.XLOOKUP($B51,INPUT_DATA!$BQ:$BQ,INPUT_DATA!CG:CG))</f>
        <v/>
      </c>
      <c r="O51" s="789" t="str">
        <f>IF($B51=0,"",_xlfn.XLOOKUP($B51,INPUT_DATA!$BQ:$BQ,INPUT_DATA!CH:CH))</f>
        <v/>
      </c>
    </row>
    <row r="52" spans="2:15" x14ac:dyDescent="0.25">
      <c r="B52" s="785">
        <f>'03 - Monthly Asset Follow up'!B57</f>
        <v>0</v>
      </c>
      <c r="C52" s="417" t="str">
        <f>IF($B52=0,"",_xlfn.XLOOKUP($B52,INPUT_DATA!$BQ:$BQ,INPUT_DATA!BR:BR))</f>
        <v/>
      </c>
      <c r="D52" s="417" t="str">
        <f>IF($B52=0,"",_xlfn.XLOOKUP($B52,INPUT_DATA!$BQ:$BQ,INPUT_DATA!BS:BS))</f>
        <v/>
      </c>
      <c r="E52" s="417" t="str">
        <f>IF($B52=0,"",_xlfn.XLOOKUP($B52,INPUT_DATA!$BQ:$BQ,INPUT_DATA!BT:BT))</f>
        <v/>
      </c>
      <c r="F52" s="417" t="str">
        <f>IF($B52=0,"",_xlfn.XLOOKUP($B52,INPUT_DATA!$BQ:$BQ,INPUT_DATA!BU:BU))</f>
        <v/>
      </c>
      <c r="G52" s="417" t="str">
        <f>IF($B52=0,"",_xlfn.XLOOKUP($B52,INPUT_DATA!$BQ:$BQ,INPUT_DATA!BV:BV))</f>
        <v/>
      </c>
      <c r="H52" s="417" t="str">
        <f>IF($B52=0,"",_xlfn.XLOOKUP($B52,INPUT_DATA!$BQ:$BQ,INPUT_DATA!BW:BW))</f>
        <v/>
      </c>
      <c r="I52" s="417" t="str">
        <f>IF($B52=0,"",_xlfn.XLOOKUP($B52,INPUT_DATA!$BQ:$BQ,INPUT_DATA!BX:BX))</f>
        <v/>
      </c>
      <c r="J52" s="417" t="str">
        <f>IF($B52=0,"",_xlfn.XLOOKUP($B52,INPUT_DATA!$BQ:$BQ,INPUT_DATA!BY:BY))</f>
        <v/>
      </c>
      <c r="K52" s="789" t="str">
        <f>IF($B52=0,"",_xlfn.XLOOKUP($B52,INPUT_DATA!$BQ:$BQ,INPUT_DATA!CD:CD))</f>
        <v/>
      </c>
      <c r="L52" s="789" t="str">
        <f>IF($B52=0,"",_xlfn.XLOOKUP($B52,INPUT_DATA!$BQ:$BQ,INPUT_DATA!CE:CE))</f>
        <v/>
      </c>
      <c r="M52" s="789" t="str">
        <f>IF($B52=0,"",_xlfn.XLOOKUP($B52,INPUT_DATA!$BQ:$BQ,INPUT_DATA!CF:CF))</f>
        <v/>
      </c>
      <c r="N52" s="789" t="str">
        <f>IF($B52=0,"",_xlfn.XLOOKUP($B52,INPUT_DATA!$BQ:$BQ,INPUT_DATA!CG:CG))</f>
        <v/>
      </c>
      <c r="O52" s="789" t="str">
        <f>IF($B52=0,"",_xlfn.XLOOKUP($B52,INPUT_DATA!$BQ:$BQ,INPUT_DATA!CH:CH))</f>
        <v/>
      </c>
    </row>
    <row r="53" spans="2:15" x14ac:dyDescent="0.25">
      <c r="B53" s="785">
        <f>'03 - Monthly Asset Follow up'!B58</f>
        <v>0</v>
      </c>
      <c r="C53" s="417" t="str">
        <f>IF($B53=0,"",_xlfn.XLOOKUP($B53,INPUT_DATA!$BQ:$BQ,INPUT_DATA!BR:BR))</f>
        <v/>
      </c>
      <c r="D53" s="417" t="str">
        <f>IF($B53=0,"",_xlfn.XLOOKUP($B53,INPUT_DATA!$BQ:$BQ,INPUT_DATA!BS:BS))</f>
        <v/>
      </c>
      <c r="E53" s="417" t="str">
        <f>IF($B53=0,"",_xlfn.XLOOKUP($B53,INPUT_DATA!$BQ:$BQ,INPUT_DATA!BT:BT))</f>
        <v/>
      </c>
      <c r="F53" s="417" t="str">
        <f>IF($B53=0,"",_xlfn.XLOOKUP($B53,INPUT_DATA!$BQ:$BQ,INPUT_DATA!BU:BU))</f>
        <v/>
      </c>
      <c r="G53" s="417" t="str">
        <f>IF($B53=0,"",_xlfn.XLOOKUP($B53,INPUT_DATA!$BQ:$BQ,INPUT_DATA!BV:BV))</f>
        <v/>
      </c>
      <c r="H53" s="417" t="str">
        <f>IF($B53=0,"",_xlfn.XLOOKUP($B53,INPUT_DATA!$BQ:$BQ,INPUT_DATA!BW:BW))</f>
        <v/>
      </c>
      <c r="I53" s="417" t="str">
        <f>IF($B53=0,"",_xlfn.XLOOKUP($B53,INPUT_DATA!$BQ:$BQ,INPUT_DATA!BX:BX))</f>
        <v/>
      </c>
      <c r="J53" s="417" t="str">
        <f>IF($B53=0,"",_xlfn.XLOOKUP($B53,INPUT_DATA!$BQ:$BQ,INPUT_DATA!BY:BY))</f>
        <v/>
      </c>
      <c r="K53" s="789" t="str">
        <f>IF($B53=0,"",_xlfn.XLOOKUP($B53,INPUT_DATA!$BQ:$BQ,INPUT_DATA!CD:CD))</f>
        <v/>
      </c>
      <c r="L53" s="789" t="str">
        <f>IF($B53=0,"",_xlfn.XLOOKUP($B53,INPUT_DATA!$BQ:$BQ,INPUT_DATA!CE:CE))</f>
        <v/>
      </c>
      <c r="M53" s="789" t="str">
        <f>IF($B53=0,"",_xlfn.XLOOKUP($B53,INPUT_DATA!$BQ:$BQ,INPUT_DATA!CF:CF))</f>
        <v/>
      </c>
      <c r="N53" s="789" t="str">
        <f>IF($B53=0,"",_xlfn.XLOOKUP($B53,INPUT_DATA!$BQ:$BQ,INPUT_DATA!CG:CG))</f>
        <v/>
      </c>
      <c r="O53" s="789" t="str">
        <f>IF($B53=0,"",_xlfn.XLOOKUP($B53,INPUT_DATA!$BQ:$BQ,INPUT_DATA!CH:CH))</f>
        <v/>
      </c>
    </row>
    <row r="54" spans="2:15" x14ac:dyDescent="0.25">
      <c r="B54" s="785">
        <f>'03 - Monthly Asset Follow up'!B59</f>
        <v>0</v>
      </c>
      <c r="C54" s="417" t="str">
        <f>IF($B54=0,"",_xlfn.XLOOKUP($B54,INPUT_DATA!$BQ:$BQ,INPUT_DATA!BR:BR))</f>
        <v/>
      </c>
      <c r="D54" s="417" t="str">
        <f>IF($B54=0,"",_xlfn.XLOOKUP($B54,INPUT_DATA!$BQ:$BQ,INPUT_DATA!BS:BS))</f>
        <v/>
      </c>
      <c r="E54" s="417" t="str">
        <f>IF($B54=0,"",_xlfn.XLOOKUP($B54,INPUT_DATA!$BQ:$BQ,INPUT_DATA!BT:BT))</f>
        <v/>
      </c>
      <c r="F54" s="417" t="str">
        <f>IF($B54=0,"",_xlfn.XLOOKUP($B54,INPUT_DATA!$BQ:$BQ,INPUT_DATA!BU:BU))</f>
        <v/>
      </c>
      <c r="G54" s="417" t="str">
        <f>IF($B54=0,"",_xlfn.XLOOKUP($B54,INPUT_DATA!$BQ:$BQ,INPUT_DATA!BV:BV))</f>
        <v/>
      </c>
      <c r="H54" s="417" t="str">
        <f>IF($B54=0,"",_xlfn.XLOOKUP($B54,INPUT_DATA!$BQ:$BQ,INPUT_DATA!BW:BW))</f>
        <v/>
      </c>
      <c r="I54" s="417" t="str">
        <f>IF($B54=0,"",_xlfn.XLOOKUP($B54,INPUT_DATA!$BQ:$BQ,INPUT_DATA!BX:BX))</f>
        <v/>
      </c>
      <c r="J54" s="417" t="str">
        <f>IF($B54=0,"",_xlfn.XLOOKUP($B54,INPUT_DATA!$BQ:$BQ,INPUT_DATA!BY:BY))</f>
        <v/>
      </c>
      <c r="K54" s="789" t="str">
        <f>IF($B54=0,"",_xlfn.XLOOKUP($B54,INPUT_DATA!$BQ:$BQ,INPUT_DATA!CD:CD))</f>
        <v/>
      </c>
      <c r="L54" s="789" t="str">
        <f>IF($B54=0,"",_xlfn.XLOOKUP($B54,INPUT_DATA!$BQ:$BQ,INPUT_DATA!CE:CE))</f>
        <v/>
      </c>
      <c r="M54" s="789" t="str">
        <f>IF($B54=0,"",_xlfn.XLOOKUP($B54,INPUT_DATA!$BQ:$BQ,INPUT_DATA!CF:CF))</f>
        <v/>
      </c>
      <c r="N54" s="789" t="str">
        <f>IF($B54=0,"",_xlfn.XLOOKUP($B54,INPUT_DATA!$BQ:$BQ,INPUT_DATA!CG:CG))</f>
        <v/>
      </c>
      <c r="O54" s="789" t="str">
        <f>IF($B54=0,"",_xlfn.XLOOKUP($B54,INPUT_DATA!$BQ:$BQ,INPUT_DATA!CH:CH))</f>
        <v/>
      </c>
    </row>
    <row r="55" spans="2:15" x14ac:dyDescent="0.25">
      <c r="B55" s="785">
        <f>'03 - Monthly Asset Follow up'!B60</f>
        <v>0</v>
      </c>
      <c r="C55" s="417" t="str">
        <f>IF($B55=0,"",_xlfn.XLOOKUP($B55,INPUT_DATA!$BQ:$BQ,INPUT_DATA!BR:BR))</f>
        <v/>
      </c>
      <c r="D55" s="417" t="str">
        <f>IF($B55=0,"",_xlfn.XLOOKUP($B55,INPUT_DATA!$BQ:$BQ,INPUT_DATA!BS:BS))</f>
        <v/>
      </c>
      <c r="E55" s="417" t="str">
        <f>IF($B55=0,"",_xlfn.XLOOKUP($B55,INPUT_DATA!$BQ:$BQ,INPUT_DATA!BT:BT))</f>
        <v/>
      </c>
      <c r="F55" s="417" t="str">
        <f>IF($B55=0,"",_xlfn.XLOOKUP($B55,INPUT_DATA!$BQ:$BQ,INPUT_DATA!BU:BU))</f>
        <v/>
      </c>
      <c r="G55" s="417" t="str">
        <f>IF($B55=0,"",_xlfn.XLOOKUP($B55,INPUT_DATA!$BQ:$BQ,INPUT_DATA!BV:BV))</f>
        <v/>
      </c>
      <c r="H55" s="417" t="str">
        <f>IF($B55=0,"",_xlfn.XLOOKUP($B55,INPUT_DATA!$BQ:$BQ,INPUT_DATA!BW:BW))</f>
        <v/>
      </c>
      <c r="I55" s="417" t="str">
        <f>IF($B55=0,"",_xlfn.XLOOKUP($B55,INPUT_DATA!$BQ:$BQ,INPUT_DATA!BX:BX))</f>
        <v/>
      </c>
      <c r="J55" s="417" t="str">
        <f>IF($B55=0,"",_xlfn.XLOOKUP($B55,INPUT_DATA!$BQ:$BQ,INPUT_DATA!BY:BY))</f>
        <v/>
      </c>
      <c r="K55" s="789" t="str">
        <f>IF($B55=0,"",_xlfn.XLOOKUP($B55,INPUT_DATA!$BQ:$BQ,INPUT_DATA!CD:CD))</f>
        <v/>
      </c>
      <c r="L55" s="789" t="str">
        <f>IF($B55=0,"",_xlfn.XLOOKUP($B55,INPUT_DATA!$BQ:$BQ,INPUT_DATA!CE:CE))</f>
        <v/>
      </c>
      <c r="M55" s="789" t="str">
        <f>IF($B55=0,"",_xlfn.XLOOKUP($B55,INPUT_DATA!$BQ:$BQ,INPUT_DATA!CF:CF))</f>
        <v/>
      </c>
      <c r="N55" s="789" t="str">
        <f>IF($B55=0,"",_xlfn.XLOOKUP($B55,INPUT_DATA!$BQ:$BQ,INPUT_DATA!CG:CG))</f>
        <v/>
      </c>
      <c r="O55" s="789" t="str">
        <f>IF($B55=0,"",_xlfn.XLOOKUP($B55,INPUT_DATA!$BQ:$BQ,INPUT_DATA!CH:CH))</f>
        <v/>
      </c>
    </row>
    <row r="56" spans="2:15" x14ac:dyDescent="0.25">
      <c r="B56" s="785">
        <f>'03 - Monthly Asset Follow up'!B61</f>
        <v>0</v>
      </c>
      <c r="C56" s="417" t="str">
        <f>IF($B56=0,"",_xlfn.XLOOKUP($B56,INPUT_DATA!$BQ:$BQ,INPUT_DATA!BR:BR))</f>
        <v/>
      </c>
      <c r="D56" s="417" t="str">
        <f>IF($B56=0,"",_xlfn.XLOOKUP($B56,INPUT_DATA!$BQ:$BQ,INPUT_DATA!BS:BS))</f>
        <v/>
      </c>
      <c r="E56" s="417" t="str">
        <f>IF($B56=0,"",_xlfn.XLOOKUP($B56,INPUT_DATA!$BQ:$BQ,INPUT_DATA!BT:BT))</f>
        <v/>
      </c>
      <c r="F56" s="417" t="str">
        <f>IF($B56=0,"",_xlfn.XLOOKUP($B56,INPUT_DATA!$BQ:$BQ,INPUT_DATA!BU:BU))</f>
        <v/>
      </c>
      <c r="G56" s="417" t="str">
        <f>IF($B56=0,"",_xlfn.XLOOKUP($B56,INPUT_DATA!$BQ:$BQ,INPUT_DATA!BV:BV))</f>
        <v/>
      </c>
      <c r="H56" s="417" t="str">
        <f>IF($B56=0,"",_xlfn.XLOOKUP($B56,INPUT_DATA!$BQ:$BQ,INPUT_DATA!BW:BW))</f>
        <v/>
      </c>
      <c r="I56" s="417" t="str">
        <f>IF($B56=0,"",_xlfn.XLOOKUP($B56,INPUT_DATA!$BQ:$BQ,INPUT_DATA!BX:BX))</f>
        <v/>
      </c>
      <c r="J56" s="417" t="str">
        <f>IF($B56=0,"",_xlfn.XLOOKUP($B56,INPUT_DATA!$BQ:$BQ,INPUT_DATA!BY:BY))</f>
        <v/>
      </c>
      <c r="K56" s="789" t="str">
        <f>IF($B56=0,"",_xlfn.XLOOKUP($B56,INPUT_DATA!$BQ:$BQ,INPUT_DATA!CD:CD))</f>
        <v/>
      </c>
      <c r="L56" s="789" t="str">
        <f>IF($B56=0,"",_xlfn.XLOOKUP($B56,INPUT_DATA!$BQ:$BQ,INPUT_DATA!CE:CE))</f>
        <v/>
      </c>
      <c r="M56" s="789" t="str">
        <f>IF($B56=0,"",_xlfn.XLOOKUP($B56,INPUT_DATA!$BQ:$BQ,INPUT_DATA!CF:CF))</f>
        <v/>
      </c>
      <c r="N56" s="789" t="str">
        <f>IF($B56=0,"",_xlfn.XLOOKUP($B56,INPUT_DATA!$BQ:$BQ,INPUT_DATA!CG:CG))</f>
        <v/>
      </c>
      <c r="O56" s="789" t="str">
        <f>IF($B56=0,"",_xlfn.XLOOKUP($B56,INPUT_DATA!$BQ:$BQ,INPUT_DATA!CH:CH))</f>
        <v/>
      </c>
    </row>
    <row r="57" spans="2:15" x14ac:dyDescent="0.25">
      <c r="B57" s="785">
        <f>'03 - Monthly Asset Follow up'!B62</f>
        <v>0</v>
      </c>
      <c r="C57" s="417" t="str">
        <f>IF($B57=0,"",_xlfn.XLOOKUP($B57,INPUT_DATA!$BQ:$BQ,INPUT_DATA!BR:BR))</f>
        <v/>
      </c>
      <c r="D57" s="417" t="str">
        <f>IF($B57=0,"",_xlfn.XLOOKUP($B57,INPUT_DATA!$BQ:$BQ,INPUT_DATA!BS:BS))</f>
        <v/>
      </c>
      <c r="E57" s="417" t="str">
        <f>IF($B57=0,"",_xlfn.XLOOKUP($B57,INPUT_DATA!$BQ:$BQ,INPUT_DATA!BT:BT))</f>
        <v/>
      </c>
      <c r="F57" s="417" t="str">
        <f>IF($B57=0,"",_xlfn.XLOOKUP($B57,INPUT_DATA!$BQ:$BQ,INPUT_DATA!BU:BU))</f>
        <v/>
      </c>
      <c r="G57" s="417" t="str">
        <f>IF($B57=0,"",_xlfn.XLOOKUP($B57,INPUT_DATA!$BQ:$BQ,INPUT_DATA!BV:BV))</f>
        <v/>
      </c>
      <c r="H57" s="417" t="str">
        <f>IF($B57=0,"",_xlfn.XLOOKUP($B57,INPUT_DATA!$BQ:$BQ,INPUT_DATA!BW:BW))</f>
        <v/>
      </c>
      <c r="I57" s="417" t="str">
        <f>IF($B57=0,"",_xlfn.XLOOKUP($B57,INPUT_DATA!$BQ:$BQ,INPUT_DATA!BX:BX))</f>
        <v/>
      </c>
      <c r="J57" s="417" t="str">
        <f>IF($B57=0,"",_xlfn.XLOOKUP($B57,INPUT_DATA!$BQ:$BQ,INPUT_DATA!BY:BY))</f>
        <v/>
      </c>
      <c r="K57" s="789" t="str">
        <f>IF($B57=0,"",_xlfn.XLOOKUP($B57,INPUT_DATA!$BQ:$BQ,INPUT_DATA!CD:CD))</f>
        <v/>
      </c>
      <c r="L57" s="789" t="str">
        <f>IF($B57=0,"",_xlfn.XLOOKUP($B57,INPUT_DATA!$BQ:$BQ,INPUT_DATA!CE:CE))</f>
        <v/>
      </c>
      <c r="M57" s="789" t="str">
        <f>IF($B57=0,"",_xlfn.XLOOKUP($B57,INPUT_DATA!$BQ:$BQ,INPUT_DATA!CF:CF))</f>
        <v/>
      </c>
      <c r="N57" s="789" t="str">
        <f>IF($B57=0,"",_xlfn.XLOOKUP($B57,INPUT_DATA!$BQ:$BQ,INPUT_DATA!CG:CG))</f>
        <v/>
      </c>
      <c r="O57" s="789" t="str">
        <f>IF($B57=0,"",_xlfn.XLOOKUP($B57,INPUT_DATA!$BQ:$BQ,INPUT_DATA!CH:CH))</f>
        <v/>
      </c>
    </row>
    <row r="58" spans="2:15" x14ac:dyDescent="0.25">
      <c r="B58" s="785">
        <f>'03 - Monthly Asset Follow up'!B63</f>
        <v>0</v>
      </c>
      <c r="C58" s="417" t="str">
        <f>IF($B58=0,"",_xlfn.XLOOKUP($B58,INPUT_DATA!$BQ:$BQ,INPUT_DATA!BR:BR))</f>
        <v/>
      </c>
      <c r="D58" s="417" t="str">
        <f>IF($B58=0,"",_xlfn.XLOOKUP($B58,INPUT_DATA!$BQ:$BQ,INPUT_DATA!BS:BS))</f>
        <v/>
      </c>
      <c r="E58" s="417" t="str">
        <f>IF($B58=0,"",_xlfn.XLOOKUP($B58,INPUT_DATA!$BQ:$BQ,INPUT_DATA!BT:BT))</f>
        <v/>
      </c>
      <c r="F58" s="417" t="str">
        <f>IF($B58=0,"",_xlfn.XLOOKUP($B58,INPUT_DATA!$BQ:$BQ,INPUT_DATA!BU:BU))</f>
        <v/>
      </c>
      <c r="G58" s="417" t="str">
        <f>IF($B58=0,"",_xlfn.XLOOKUP($B58,INPUT_DATA!$BQ:$BQ,INPUT_DATA!BV:BV))</f>
        <v/>
      </c>
      <c r="H58" s="417" t="str">
        <f>IF($B58=0,"",_xlfn.XLOOKUP($B58,INPUT_DATA!$BQ:$BQ,INPUT_DATA!BW:BW))</f>
        <v/>
      </c>
      <c r="I58" s="417" t="str">
        <f>IF($B58=0,"",_xlfn.XLOOKUP($B58,INPUT_DATA!$BQ:$BQ,INPUT_DATA!BX:BX))</f>
        <v/>
      </c>
      <c r="J58" s="417" t="str">
        <f>IF($B58=0,"",_xlfn.XLOOKUP($B58,INPUT_DATA!$BQ:$BQ,INPUT_DATA!BY:BY))</f>
        <v/>
      </c>
      <c r="K58" s="789" t="str">
        <f>IF($B58=0,"",_xlfn.XLOOKUP($B58,INPUT_DATA!$BQ:$BQ,INPUT_DATA!CD:CD))</f>
        <v/>
      </c>
      <c r="L58" s="789" t="str">
        <f>IF($B58=0,"",_xlfn.XLOOKUP($B58,INPUT_DATA!$BQ:$BQ,INPUT_DATA!CE:CE))</f>
        <v/>
      </c>
      <c r="M58" s="789" t="str">
        <f>IF($B58=0,"",_xlfn.XLOOKUP($B58,INPUT_DATA!$BQ:$BQ,INPUT_DATA!CF:CF))</f>
        <v/>
      </c>
      <c r="N58" s="789" t="str">
        <f>IF($B58=0,"",_xlfn.XLOOKUP($B58,INPUT_DATA!$BQ:$BQ,INPUT_DATA!CG:CG))</f>
        <v/>
      </c>
      <c r="O58" s="789" t="str">
        <f>IF($B58=0,"",_xlfn.XLOOKUP($B58,INPUT_DATA!$BQ:$BQ,INPUT_DATA!CH:CH))</f>
        <v/>
      </c>
    </row>
    <row r="59" spans="2:15" x14ac:dyDescent="0.25">
      <c r="B59" s="785">
        <f>'03 - Monthly Asset Follow up'!B64</f>
        <v>0</v>
      </c>
      <c r="C59" s="417" t="str">
        <f>IF($B59=0,"",_xlfn.XLOOKUP($B59,INPUT_DATA!$BQ:$BQ,INPUT_DATA!BR:BR))</f>
        <v/>
      </c>
      <c r="D59" s="417" t="str">
        <f>IF($B59=0,"",_xlfn.XLOOKUP($B59,INPUT_DATA!$BQ:$BQ,INPUT_DATA!BS:BS))</f>
        <v/>
      </c>
      <c r="E59" s="417" t="str">
        <f>IF($B59=0,"",_xlfn.XLOOKUP($B59,INPUT_DATA!$BQ:$BQ,INPUT_DATA!BT:BT))</f>
        <v/>
      </c>
      <c r="F59" s="417" t="str">
        <f>IF($B59=0,"",_xlfn.XLOOKUP($B59,INPUT_DATA!$BQ:$BQ,INPUT_DATA!BU:BU))</f>
        <v/>
      </c>
      <c r="G59" s="417" t="str">
        <f>IF($B59=0,"",_xlfn.XLOOKUP($B59,INPUT_DATA!$BQ:$BQ,INPUT_DATA!BV:BV))</f>
        <v/>
      </c>
      <c r="H59" s="417" t="str">
        <f>IF($B59=0,"",_xlfn.XLOOKUP($B59,INPUT_DATA!$BQ:$BQ,INPUT_DATA!BW:BW))</f>
        <v/>
      </c>
      <c r="I59" s="417" t="str">
        <f>IF($B59=0,"",_xlfn.XLOOKUP($B59,INPUT_DATA!$BQ:$BQ,INPUT_DATA!BX:BX))</f>
        <v/>
      </c>
      <c r="J59" s="417" t="str">
        <f>IF($B59=0,"",_xlfn.XLOOKUP($B59,INPUT_DATA!$BQ:$BQ,INPUT_DATA!BY:BY))</f>
        <v/>
      </c>
      <c r="K59" s="789" t="str">
        <f>IF($B59=0,"",_xlfn.XLOOKUP($B59,INPUT_DATA!$BQ:$BQ,INPUT_DATA!CD:CD))</f>
        <v/>
      </c>
      <c r="L59" s="789" t="str">
        <f>IF($B59=0,"",_xlfn.XLOOKUP($B59,INPUT_DATA!$BQ:$BQ,INPUT_DATA!CE:CE))</f>
        <v/>
      </c>
      <c r="M59" s="789" t="str">
        <f>IF($B59=0,"",_xlfn.XLOOKUP($B59,INPUT_DATA!$BQ:$BQ,INPUT_DATA!CF:CF))</f>
        <v/>
      </c>
      <c r="N59" s="789" t="str">
        <f>IF($B59=0,"",_xlfn.XLOOKUP($B59,INPUT_DATA!$BQ:$BQ,INPUT_DATA!CG:CG))</f>
        <v/>
      </c>
      <c r="O59" s="789" t="str">
        <f>IF($B59=0,"",_xlfn.XLOOKUP($B59,INPUT_DATA!$BQ:$BQ,INPUT_DATA!CH:CH))</f>
        <v/>
      </c>
    </row>
    <row r="60" spans="2:15" x14ac:dyDescent="0.25">
      <c r="B60" s="785">
        <f>'03 - Monthly Asset Follow up'!B65</f>
        <v>0</v>
      </c>
      <c r="C60" s="417" t="str">
        <f>IF($B60=0,"",_xlfn.XLOOKUP($B60,INPUT_DATA!$BQ:$BQ,INPUT_DATA!BR:BR))</f>
        <v/>
      </c>
      <c r="D60" s="417" t="str">
        <f>IF($B60=0,"",_xlfn.XLOOKUP($B60,INPUT_DATA!$BQ:$BQ,INPUT_DATA!BS:BS))</f>
        <v/>
      </c>
      <c r="E60" s="417" t="str">
        <f>IF($B60=0,"",_xlfn.XLOOKUP($B60,INPUT_DATA!$BQ:$BQ,INPUT_DATA!BT:BT))</f>
        <v/>
      </c>
      <c r="F60" s="417" t="str">
        <f>IF($B60=0,"",_xlfn.XLOOKUP($B60,INPUT_DATA!$BQ:$BQ,INPUT_DATA!BU:BU))</f>
        <v/>
      </c>
      <c r="G60" s="417" t="str">
        <f>IF($B60=0,"",_xlfn.XLOOKUP($B60,INPUT_DATA!$BQ:$BQ,INPUT_DATA!BV:BV))</f>
        <v/>
      </c>
      <c r="H60" s="417" t="str">
        <f>IF($B60=0,"",_xlfn.XLOOKUP($B60,INPUT_DATA!$BQ:$BQ,INPUT_DATA!BW:BW))</f>
        <v/>
      </c>
      <c r="I60" s="417" t="str">
        <f>IF($B60=0,"",_xlfn.XLOOKUP($B60,INPUT_DATA!$BQ:$BQ,INPUT_DATA!BX:BX))</f>
        <v/>
      </c>
      <c r="J60" s="417" t="str">
        <f>IF($B60=0,"",_xlfn.XLOOKUP($B60,INPUT_DATA!$BQ:$BQ,INPUT_DATA!BY:BY))</f>
        <v/>
      </c>
      <c r="K60" s="789" t="str">
        <f>IF($B60=0,"",_xlfn.XLOOKUP($B60,INPUT_DATA!$BQ:$BQ,INPUT_DATA!CD:CD))</f>
        <v/>
      </c>
      <c r="L60" s="789" t="str">
        <f>IF($B60=0,"",_xlfn.XLOOKUP($B60,INPUT_DATA!$BQ:$BQ,INPUT_DATA!CE:CE))</f>
        <v/>
      </c>
      <c r="M60" s="789" t="str">
        <f>IF($B60=0,"",_xlfn.XLOOKUP($B60,INPUT_DATA!$BQ:$BQ,INPUT_DATA!CF:CF))</f>
        <v/>
      </c>
      <c r="N60" s="789" t="str">
        <f>IF($B60=0,"",_xlfn.XLOOKUP($B60,INPUT_DATA!$BQ:$BQ,INPUT_DATA!CG:CG))</f>
        <v/>
      </c>
      <c r="O60" s="789" t="str">
        <f>IF($B60=0,"",_xlfn.XLOOKUP($B60,INPUT_DATA!$BQ:$BQ,INPUT_DATA!CH:CH))</f>
        <v/>
      </c>
    </row>
    <row r="61" spans="2:15" x14ac:dyDescent="0.25">
      <c r="B61" s="785">
        <f>'03 - Monthly Asset Follow up'!B66</f>
        <v>0</v>
      </c>
      <c r="C61" s="417" t="str">
        <f>IF($B61=0,"",_xlfn.XLOOKUP($B61,INPUT_DATA!$BQ:$BQ,INPUT_DATA!BR:BR))</f>
        <v/>
      </c>
      <c r="D61" s="417" t="str">
        <f>IF($B61=0,"",_xlfn.XLOOKUP($B61,INPUT_DATA!$BQ:$BQ,INPUT_DATA!BS:BS))</f>
        <v/>
      </c>
      <c r="E61" s="417" t="str">
        <f>IF($B61=0,"",_xlfn.XLOOKUP($B61,INPUT_DATA!$BQ:$BQ,INPUT_DATA!BT:BT))</f>
        <v/>
      </c>
      <c r="F61" s="417" t="str">
        <f>IF($B61=0,"",_xlfn.XLOOKUP($B61,INPUT_DATA!$BQ:$BQ,INPUT_DATA!BU:BU))</f>
        <v/>
      </c>
      <c r="G61" s="417" t="str">
        <f>IF($B61=0,"",_xlfn.XLOOKUP($B61,INPUT_DATA!$BQ:$BQ,INPUT_DATA!BV:BV))</f>
        <v/>
      </c>
      <c r="H61" s="417" t="str">
        <f>IF($B61=0,"",_xlfn.XLOOKUP($B61,INPUT_DATA!$BQ:$BQ,INPUT_DATA!BW:BW))</f>
        <v/>
      </c>
      <c r="I61" s="417" t="str">
        <f>IF($B61=0,"",_xlfn.XLOOKUP($B61,INPUT_DATA!$BQ:$BQ,INPUT_DATA!BX:BX))</f>
        <v/>
      </c>
      <c r="J61" s="417" t="str">
        <f>IF($B61=0,"",_xlfn.XLOOKUP($B61,INPUT_DATA!$BQ:$BQ,INPUT_DATA!BY:BY))</f>
        <v/>
      </c>
      <c r="K61" s="789" t="str">
        <f>IF($B61=0,"",_xlfn.XLOOKUP($B61,INPUT_DATA!$BQ:$BQ,INPUT_DATA!CD:CD))</f>
        <v/>
      </c>
      <c r="L61" s="789" t="str">
        <f>IF($B61=0,"",_xlfn.XLOOKUP($B61,INPUT_DATA!$BQ:$BQ,INPUT_DATA!CE:CE))</f>
        <v/>
      </c>
      <c r="M61" s="789" t="str">
        <f>IF($B61=0,"",_xlfn.XLOOKUP($B61,INPUT_DATA!$BQ:$BQ,INPUT_DATA!CF:CF))</f>
        <v/>
      </c>
      <c r="N61" s="789" t="str">
        <f>IF($B61=0,"",_xlfn.XLOOKUP($B61,INPUT_DATA!$BQ:$BQ,INPUT_DATA!CG:CG))</f>
        <v/>
      </c>
      <c r="O61" s="789" t="str">
        <f>IF($B61=0,"",_xlfn.XLOOKUP($B61,INPUT_DATA!$BQ:$BQ,INPUT_DATA!CH:CH))</f>
        <v/>
      </c>
    </row>
    <row r="62" spans="2:15" x14ac:dyDescent="0.25">
      <c r="B62" s="785">
        <f>'03 - Monthly Asset Follow up'!B67</f>
        <v>0</v>
      </c>
      <c r="C62" s="417" t="str">
        <f>IF($B62=0,"",_xlfn.XLOOKUP($B62,INPUT_DATA!$BQ:$BQ,INPUT_DATA!BR:BR))</f>
        <v/>
      </c>
      <c r="D62" s="417" t="str">
        <f>IF($B62=0,"",_xlfn.XLOOKUP($B62,INPUT_DATA!$BQ:$BQ,INPUT_DATA!BS:BS))</f>
        <v/>
      </c>
      <c r="E62" s="417" t="str">
        <f>IF($B62=0,"",_xlfn.XLOOKUP($B62,INPUT_DATA!$BQ:$BQ,INPUT_DATA!BT:BT))</f>
        <v/>
      </c>
      <c r="F62" s="417" t="str">
        <f>IF($B62=0,"",_xlfn.XLOOKUP($B62,INPUT_DATA!$BQ:$BQ,INPUT_DATA!BU:BU))</f>
        <v/>
      </c>
      <c r="G62" s="417" t="str">
        <f>IF($B62=0,"",_xlfn.XLOOKUP($B62,INPUT_DATA!$BQ:$BQ,INPUT_DATA!BV:BV))</f>
        <v/>
      </c>
      <c r="H62" s="417" t="str">
        <f>IF($B62=0,"",_xlfn.XLOOKUP($B62,INPUT_DATA!$BQ:$BQ,INPUT_DATA!BW:BW))</f>
        <v/>
      </c>
      <c r="I62" s="417" t="str">
        <f>IF($B62=0,"",_xlfn.XLOOKUP($B62,INPUT_DATA!$BQ:$BQ,INPUT_DATA!BX:BX))</f>
        <v/>
      </c>
      <c r="J62" s="417" t="str">
        <f>IF($B62=0,"",_xlfn.XLOOKUP($B62,INPUT_DATA!$BQ:$BQ,INPUT_DATA!BY:BY))</f>
        <v/>
      </c>
      <c r="K62" s="789" t="str">
        <f>IF($B62=0,"",_xlfn.XLOOKUP($B62,INPUT_DATA!$BQ:$BQ,INPUT_DATA!CD:CD))</f>
        <v/>
      </c>
      <c r="L62" s="789" t="str">
        <f>IF($B62=0,"",_xlfn.XLOOKUP($B62,INPUT_DATA!$BQ:$BQ,INPUT_DATA!CE:CE))</f>
        <v/>
      </c>
      <c r="M62" s="789" t="str">
        <f>IF($B62=0,"",_xlfn.XLOOKUP($B62,INPUT_DATA!$BQ:$BQ,INPUT_DATA!CF:CF))</f>
        <v/>
      </c>
      <c r="N62" s="789" t="str">
        <f>IF($B62=0,"",_xlfn.XLOOKUP($B62,INPUT_DATA!$BQ:$BQ,INPUT_DATA!CG:CG))</f>
        <v/>
      </c>
      <c r="O62" s="789" t="str">
        <f>IF($B62=0,"",_xlfn.XLOOKUP($B62,INPUT_DATA!$BQ:$BQ,INPUT_DATA!CH:CH))</f>
        <v/>
      </c>
    </row>
    <row r="63" spans="2:15" x14ac:dyDescent="0.25">
      <c r="B63" s="785">
        <f>'03 - Monthly Asset Follow up'!B68</f>
        <v>0</v>
      </c>
      <c r="C63" s="417" t="str">
        <f>IF($B63=0,"",_xlfn.XLOOKUP($B63,INPUT_DATA!$BQ:$BQ,INPUT_DATA!BR:BR))</f>
        <v/>
      </c>
      <c r="D63" s="417" t="str">
        <f>IF($B63=0,"",_xlfn.XLOOKUP($B63,INPUT_DATA!$BQ:$BQ,INPUT_DATA!BS:BS))</f>
        <v/>
      </c>
      <c r="E63" s="417" t="str">
        <f>IF($B63=0,"",_xlfn.XLOOKUP($B63,INPUT_DATA!$BQ:$BQ,INPUT_DATA!BT:BT))</f>
        <v/>
      </c>
      <c r="F63" s="417" t="str">
        <f>IF($B63=0,"",_xlfn.XLOOKUP($B63,INPUT_DATA!$BQ:$BQ,INPUT_DATA!BU:BU))</f>
        <v/>
      </c>
      <c r="G63" s="417" t="str">
        <f>IF($B63=0,"",_xlfn.XLOOKUP($B63,INPUT_DATA!$BQ:$BQ,INPUT_DATA!BV:BV))</f>
        <v/>
      </c>
      <c r="H63" s="417" t="str">
        <f>IF($B63=0,"",_xlfn.XLOOKUP($B63,INPUT_DATA!$BQ:$BQ,INPUT_DATA!BW:BW))</f>
        <v/>
      </c>
      <c r="I63" s="417" t="str">
        <f>IF($B63=0,"",_xlfn.XLOOKUP($B63,INPUT_DATA!$BQ:$BQ,INPUT_DATA!BX:BX))</f>
        <v/>
      </c>
      <c r="J63" s="417" t="str">
        <f>IF($B63=0,"",_xlfn.XLOOKUP($B63,INPUT_DATA!$BQ:$BQ,INPUT_DATA!BY:BY))</f>
        <v/>
      </c>
      <c r="K63" s="789" t="str">
        <f>IF($B63=0,"",_xlfn.XLOOKUP($B63,INPUT_DATA!$BQ:$BQ,INPUT_DATA!CD:CD))</f>
        <v/>
      </c>
      <c r="L63" s="789" t="str">
        <f>IF($B63=0,"",_xlfn.XLOOKUP($B63,INPUT_DATA!$BQ:$BQ,INPUT_DATA!CE:CE))</f>
        <v/>
      </c>
      <c r="M63" s="789" t="str">
        <f>IF($B63=0,"",_xlfn.XLOOKUP($B63,INPUT_DATA!$BQ:$BQ,INPUT_DATA!CF:CF))</f>
        <v/>
      </c>
      <c r="N63" s="789" t="str">
        <f>IF($B63=0,"",_xlfn.XLOOKUP($B63,INPUT_DATA!$BQ:$BQ,INPUT_DATA!CG:CG))</f>
        <v/>
      </c>
      <c r="O63" s="789" t="str">
        <f>IF($B63=0,"",_xlfn.XLOOKUP($B63,INPUT_DATA!$BQ:$BQ,INPUT_DATA!CH:CH))</f>
        <v/>
      </c>
    </row>
    <row r="64" spans="2:15" x14ac:dyDescent="0.25">
      <c r="B64" s="785">
        <f>'03 - Monthly Asset Follow up'!B69</f>
        <v>0</v>
      </c>
      <c r="C64" s="417" t="str">
        <f>IF($B64=0,"",_xlfn.XLOOKUP($B64,INPUT_DATA!$BQ:$BQ,INPUT_DATA!BR:BR))</f>
        <v/>
      </c>
      <c r="D64" s="417" t="str">
        <f>IF($B64=0,"",_xlfn.XLOOKUP($B64,INPUT_DATA!$BQ:$BQ,INPUT_DATA!BS:BS))</f>
        <v/>
      </c>
      <c r="E64" s="417" t="str">
        <f>IF($B64=0,"",_xlfn.XLOOKUP($B64,INPUT_DATA!$BQ:$BQ,INPUT_DATA!BT:BT))</f>
        <v/>
      </c>
      <c r="F64" s="417" t="str">
        <f>IF($B64=0,"",_xlfn.XLOOKUP($B64,INPUT_DATA!$BQ:$BQ,INPUT_DATA!BU:BU))</f>
        <v/>
      </c>
      <c r="G64" s="417" t="str">
        <f>IF($B64=0,"",_xlfn.XLOOKUP($B64,INPUT_DATA!$BQ:$BQ,INPUT_DATA!BV:BV))</f>
        <v/>
      </c>
      <c r="H64" s="417" t="str">
        <f>IF($B64=0,"",_xlfn.XLOOKUP($B64,INPUT_DATA!$BQ:$BQ,INPUT_DATA!BW:BW))</f>
        <v/>
      </c>
      <c r="I64" s="417" t="str">
        <f>IF($B64=0,"",_xlfn.XLOOKUP($B64,INPUT_DATA!$BQ:$BQ,INPUT_DATA!BX:BX))</f>
        <v/>
      </c>
      <c r="J64" s="417" t="str">
        <f>IF($B64=0,"",_xlfn.XLOOKUP($B64,INPUT_DATA!$BQ:$BQ,INPUT_DATA!BY:BY))</f>
        <v/>
      </c>
      <c r="K64" s="789" t="str">
        <f>IF($B64=0,"",_xlfn.XLOOKUP($B64,INPUT_DATA!$BQ:$BQ,INPUT_DATA!CD:CD))</f>
        <v/>
      </c>
      <c r="L64" s="789" t="str">
        <f>IF($B64=0,"",_xlfn.XLOOKUP($B64,INPUT_DATA!$BQ:$BQ,INPUT_DATA!CE:CE))</f>
        <v/>
      </c>
      <c r="M64" s="789" t="str">
        <f>IF($B64=0,"",_xlfn.XLOOKUP($B64,INPUT_DATA!$BQ:$BQ,INPUT_DATA!CF:CF))</f>
        <v/>
      </c>
      <c r="N64" s="789" t="str">
        <f>IF($B64=0,"",_xlfn.XLOOKUP($B64,INPUT_DATA!$BQ:$BQ,INPUT_DATA!CG:CG))</f>
        <v/>
      </c>
      <c r="O64" s="789" t="str">
        <f>IF($B64=0,"",_xlfn.XLOOKUP($B64,INPUT_DATA!$BQ:$BQ,INPUT_DATA!CH:CH))</f>
        <v/>
      </c>
    </row>
    <row r="65" spans="2:15" x14ac:dyDescent="0.25">
      <c r="B65" s="785">
        <f>'03 - Monthly Asset Follow up'!B70</f>
        <v>0</v>
      </c>
      <c r="C65" s="417" t="str">
        <f>IF($B65=0,"",_xlfn.XLOOKUP($B65,INPUT_DATA!$BQ:$BQ,INPUT_DATA!BR:BR))</f>
        <v/>
      </c>
      <c r="D65" s="417" t="str">
        <f>IF($B65=0,"",_xlfn.XLOOKUP($B65,INPUT_DATA!$BQ:$BQ,INPUT_DATA!BS:BS))</f>
        <v/>
      </c>
      <c r="E65" s="417" t="str">
        <f>IF($B65=0,"",_xlfn.XLOOKUP($B65,INPUT_DATA!$BQ:$BQ,INPUT_DATA!BT:BT))</f>
        <v/>
      </c>
      <c r="F65" s="417" t="str">
        <f>IF($B65=0,"",_xlfn.XLOOKUP($B65,INPUT_DATA!$BQ:$BQ,INPUT_DATA!BU:BU))</f>
        <v/>
      </c>
      <c r="G65" s="417" t="str">
        <f>IF($B65=0,"",_xlfn.XLOOKUP($B65,INPUT_DATA!$BQ:$BQ,INPUT_DATA!BV:BV))</f>
        <v/>
      </c>
      <c r="H65" s="417" t="str">
        <f>IF($B65=0,"",_xlfn.XLOOKUP($B65,INPUT_DATA!$BQ:$BQ,INPUT_DATA!BW:BW))</f>
        <v/>
      </c>
      <c r="I65" s="417" t="str">
        <f>IF($B65=0,"",_xlfn.XLOOKUP($B65,INPUT_DATA!$BQ:$BQ,INPUT_DATA!BX:BX))</f>
        <v/>
      </c>
      <c r="J65" s="417" t="str">
        <f>IF($B65=0,"",_xlfn.XLOOKUP($B65,INPUT_DATA!$BQ:$BQ,INPUT_DATA!BY:BY))</f>
        <v/>
      </c>
      <c r="K65" s="789" t="str">
        <f>IF($B65=0,"",_xlfn.XLOOKUP($B65,INPUT_DATA!$BQ:$BQ,INPUT_DATA!CD:CD))</f>
        <v/>
      </c>
      <c r="L65" s="789" t="str">
        <f>IF($B65=0,"",_xlfn.XLOOKUP($B65,INPUT_DATA!$BQ:$BQ,INPUT_DATA!CE:CE))</f>
        <v/>
      </c>
      <c r="M65" s="789" t="str">
        <f>IF($B65=0,"",_xlfn.XLOOKUP($B65,INPUT_DATA!$BQ:$BQ,INPUT_DATA!CF:CF))</f>
        <v/>
      </c>
      <c r="N65" s="789" t="str">
        <f>IF($B65=0,"",_xlfn.XLOOKUP($B65,INPUT_DATA!$BQ:$BQ,INPUT_DATA!CG:CG))</f>
        <v/>
      </c>
      <c r="O65" s="789" t="str">
        <f>IF($B65=0,"",_xlfn.XLOOKUP($B65,INPUT_DATA!$BQ:$BQ,INPUT_DATA!CH:CH))</f>
        <v/>
      </c>
    </row>
    <row r="66" spans="2:15" x14ac:dyDescent="0.25">
      <c r="B66" s="785">
        <f>'03 - Monthly Asset Follow up'!B71</f>
        <v>0</v>
      </c>
      <c r="C66" s="417" t="str">
        <f>IF($B66=0,"",_xlfn.XLOOKUP($B66,INPUT_DATA!$BQ:$BQ,INPUT_DATA!BR:BR))</f>
        <v/>
      </c>
      <c r="D66" s="417" t="str">
        <f>IF($B66=0,"",_xlfn.XLOOKUP($B66,INPUT_DATA!$BQ:$BQ,INPUT_DATA!BS:BS))</f>
        <v/>
      </c>
      <c r="E66" s="417" t="str">
        <f>IF($B66=0,"",_xlfn.XLOOKUP($B66,INPUT_DATA!$BQ:$BQ,INPUT_DATA!BT:BT))</f>
        <v/>
      </c>
      <c r="F66" s="417" t="str">
        <f>IF($B66=0,"",_xlfn.XLOOKUP($B66,INPUT_DATA!$BQ:$BQ,INPUT_DATA!BU:BU))</f>
        <v/>
      </c>
      <c r="G66" s="417" t="str">
        <f>IF($B66=0,"",_xlfn.XLOOKUP($B66,INPUT_DATA!$BQ:$BQ,INPUT_DATA!BV:BV))</f>
        <v/>
      </c>
      <c r="H66" s="417" t="str">
        <f>IF($B66=0,"",_xlfn.XLOOKUP($B66,INPUT_DATA!$BQ:$BQ,INPUT_DATA!BW:BW))</f>
        <v/>
      </c>
      <c r="I66" s="417" t="str">
        <f>IF($B66=0,"",_xlfn.XLOOKUP($B66,INPUT_DATA!$BQ:$BQ,INPUT_DATA!BX:BX))</f>
        <v/>
      </c>
      <c r="J66" s="417" t="str">
        <f>IF($B66=0,"",_xlfn.XLOOKUP($B66,INPUT_DATA!$BQ:$BQ,INPUT_DATA!BY:BY))</f>
        <v/>
      </c>
      <c r="K66" s="789" t="str">
        <f>IF($B66=0,"",_xlfn.XLOOKUP($B66,INPUT_DATA!$BQ:$BQ,INPUT_DATA!CD:CD))</f>
        <v/>
      </c>
      <c r="L66" s="789" t="str">
        <f>IF($B66=0,"",_xlfn.XLOOKUP($B66,INPUT_DATA!$BQ:$BQ,INPUT_DATA!CE:CE))</f>
        <v/>
      </c>
      <c r="M66" s="789" t="str">
        <f>IF($B66=0,"",_xlfn.XLOOKUP($B66,INPUT_DATA!$BQ:$BQ,INPUT_DATA!CF:CF))</f>
        <v/>
      </c>
      <c r="N66" s="789" t="str">
        <f>IF($B66=0,"",_xlfn.XLOOKUP($B66,INPUT_DATA!$BQ:$BQ,INPUT_DATA!CG:CG))</f>
        <v/>
      </c>
      <c r="O66" s="789" t="str">
        <f>IF($B66=0,"",_xlfn.XLOOKUP($B66,INPUT_DATA!$BQ:$BQ,INPUT_DATA!CH:CH))</f>
        <v/>
      </c>
    </row>
    <row r="67" spans="2:15" x14ac:dyDescent="0.25">
      <c r="B67" s="785">
        <f>'03 - Monthly Asset Follow up'!B72</f>
        <v>0</v>
      </c>
      <c r="C67" s="417" t="str">
        <f>IF($B67=0,"",_xlfn.XLOOKUP($B67,INPUT_DATA!$BQ:$BQ,INPUT_DATA!BR:BR))</f>
        <v/>
      </c>
      <c r="D67" s="417" t="str">
        <f>IF($B67=0,"",_xlfn.XLOOKUP($B67,INPUT_DATA!$BQ:$BQ,INPUT_DATA!BS:BS))</f>
        <v/>
      </c>
      <c r="E67" s="417" t="str">
        <f>IF($B67=0,"",_xlfn.XLOOKUP($B67,INPUT_DATA!$BQ:$BQ,INPUT_DATA!BT:BT))</f>
        <v/>
      </c>
      <c r="F67" s="417" t="str">
        <f>IF($B67=0,"",_xlfn.XLOOKUP($B67,INPUT_DATA!$BQ:$BQ,INPUT_DATA!BU:BU))</f>
        <v/>
      </c>
      <c r="G67" s="417" t="str">
        <f>IF($B67=0,"",_xlfn.XLOOKUP($B67,INPUT_DATA!$BQ:$BQ,INPUT_DATA!BV:BV))</f>
        <v/>
      </c>
      <c r="H67" s="417" t="str">
        <f>IF($B67=0,"",_xlfn.XLOOKUP($B67,INPUT_DATA!$BQ:$BQ,INPUT_DATA!BW:BW))</f>
        <v/>
      </c>
      <c r="I67" s="417" t="str">
        <f>IF($B67=0,"",_xlfn.XLOOKUP($B67,INPUT_DATA!$BQ:$BQ,INPUT_DATA!BX:BX))</f>
        <v/>
      </c>
      <c r="J67" s="417" t="str">
        <f>IF($B67=0,"",_xlfn.XLOOKUP($B67,INPUT_DATA!$BQ:$BQ,INPUT_DATA!BY:BY))</f>
        <v/>
      </c>
      <c r="K67" s="789" t="str">
        <f>IF($B67=0,"",_xlfn.XLOOKUP($B67,INPUT_DATA!$BQ:$BQ,INPUT_DATA!CD:CD))</f>
        <v/>
      </c>
      <c r="L67" s="789" t="str">
        <f>IF($B67=0,"",_xlfn.XLOOKUP($B67,INPUT_DATA!$BQ:$BQ,INPUT_DATA!CE:CE))</f>
        <v/>
      </c>
      <c r="M67" s="789" t="str">
        <f>IF($B67=0,"",_xlfn.XLOOKUP($B67,INPUT_DATA!$BQ:$BQ,INPUT_DATA!CF:CF))</f>
        <v/>
      </c>
      <c r="N67" s="789" t="str">
        <f>IF($B67=0,"",_xlfn.XLOOKUP($B67,INPUT_DATA!$BQ:$BQ,INPUT_DATA!CG:CG))</f>
        <v/>
      </c>
      <c r="O67" s="789" t="str">
        <f>IF($B67=0,"",_xlfn.XLOOKUP($B67,INPUT_DATA!$BQ:$BQ,INPUT_DATA!CH:CH))</f>
        <v/>
      </c>
    </row>
    <row r="68" spans="2:15" x14ac:dyDescent="0.25">
      <c r="B68" s="785">
        <f>'03 - Monthly Asset Follow up'!B73</f>
        <v>0</v>
      </c>
      <c r="C68" s="417" t="str">
        <f>IF($B68=0,"",_xlfn.XLOOKUP($B68,INPUT_DATA!$BQ:$BQ,INPUT_DATA!BR:BR))</f>
        <v/>
      </c>
      <c r="D68" s="417" t="str">
        <f>IF($B68=0,"",_xlfn.XLOOKUP($B68,INPUT_DATA!$BQ:$BQ,INPUT_DATA!BS:BS))</f>
        <v/>
      </c>
      <c r="E68" s="417" t="str">
        <f>IF($B68=0,"",_xlfn.XLOOKUP($B68,INPUT_DATA!$BQ:$BQ,INPUT_DATA!BT:BT))</f>
        <v/>
      </c>
      <c r="F68" s="417" t="str">
        <f>IF($B68=0,"",_xlfn.XLOOKUP($B68,INPUT_DATA!$BQ:$BQ,INPUT_DATA!BU:BU))</f>
        <v/>
      </c>
      <c r="G68" s="417" t="str">
        <f>IF($B68=0,"",_xlfn.XLOOKUP($B68,INPUT_DATA!$BQ:$BQ,INPUT_DATA!BV:BV))</f>
        <v/>
      </c>
      <c r="H68" s="417" t="str">
        <f>IF($B68=0,"",_xlfn.XLOOKUP($B68,INPUT_DATA!$BQ:$BQ,INPUT_DATA!BW:BW))</f>
        <v/>
      </c>
      <c r="I68" s="417" t="str">
        <f>IF($B68=0,"",_xlfn.XLOOKUP($B68,INPUT_DATA!$BQ:$BQ,INPUT_DATA!BX:BX))</f>
        <v/>
      </c>
      <c r="J68" s="417" t="str">
        <f>IF($B68=0,"",_xlfn.XLOOKUP($B68,INPUT_DATA!$BQ:$BQ,INPUT_DATA!BY:BY))</f>
        <v/>
      </c>
      <c r="K68" s="789" t="str">
        <f>IF($B68=0,"",_xlfn.XLOOKUP($B68,INPUT_DATA!$BQ:$BQ,INPUT_DATA!CD:CD))</f>
        <v/>
      </c>
      <c r="L68" s="789" t="str">
        <f>IF($B68=0,"",_xlfn.XLOOKUP($B68,INPUT_DATA!$BQ:$BQ,INPUT_DATA!CE:CE))</f>
        <v/>
      </c>
      <c r="M68" s="789" t="str">
        <f>IF($B68=0,"",_xlfn.XLOOKUP($B68,INPUT_DATA!$BQ:$BQ,INPUT_DATA!CF:CF))</f>
        <v/>
      </c>
      <c r="N68" s="789" t="str">
        <f>IF($B68=0,"",_xlfn.XLOOKUP($B68,INPUT_DATA!$BQ:$BQ,INPUT_DATA!CG:CG))</f>
        <v/>
      </c>
      <c r="O68" s="789" t="str">
        <f>IF($B68=0,"",_xlfn.XLOOKUP($B68,INPUT_DATA!$BQ:$BQ,INPUT_DATA!CH:CH))</f>
        <v/>
      </c>
    </row>
    <row r="69" spans="2:15" x14ac:dyDescent="0.25">
      <c r="B69" s="785">
        <f>'03 - Monthly Asset Follow up'!B74</f>
        <v>0</v>
      </c>
      <c r="C69" s="417" t="str">
        <f>IF($B69=0,"",_xlfn.XLOOKUP($B69,INPUT_DATA!$BQ:$BQ,INPUT_DATA!BR:BR))</f>
        <v/>
      </c>
      <c r="D69" s="417" t="str">
        <f>IF($B69=0,"",_xlfn.XLOOKUP($B69,INPUT_DATA!$BQ:$BQ,INPUT_DATA!BS:BS))</f>
        <v/>
      </c>
      <c r="E69" s="417" t="str">
        <f>IF($B69=0,"",_xlfn.XLOOKUP($B69,INPUT_DATA!$BQ:$BQ,INPUT_DATA!BT:BT))</f>
        <v/>
      </c>
      <c r="F69" s="417" t="str">
        <f>IF($B69=0,"",_xlfn.XLOOKUP($B69,INPUT_DATA!$BQ:$BQ,INPUT_DATA!BU:BU))</f>
        <v/>
      </c>
      <c r="G69" s="417" t="str">
        <f>IF($B69=0,"",_xlfn.XLOOKUP($B69,INPUT_DATA!$BQ:$BQ,INPUT_DATA!BV:BV))</f>
        <v/>
      </c>
      <c r="H69" s="417" t="str">
        <f>IF($B69=0,"",_xlfn.XLOOKUP($B69,INPUT_DATA!$BQ:$BQ,INPUT_DATA!BW:BW))</f>
        <v/>
      </c>
      <c r="I69" s="417" t="str">
        <f>IF($B69=0,"",_xlfn.XLOOKUP($B69,INPUT_DATA!$BQ:$BQ,INPUT_DATA!BX:BX))</f>
        <v/>
      </c>
      <c r="J69" s="417" t="str">
        <f>IF($B69=0,"",_xlfn.XLOOKUP($B69,INPUT_DATA!$BQ:$BQ,INPUT_DATA!BY:BY))</f>
        <v/>
      </c>
      <c r="K69" s="789" t="str">
        <f>IF($B69=0,"",_xlfn.XLOOKUP($B69,INPUT_DATA!$BQ:$BQ,INPUT_DATA!CD:CD))</f>
        <v/>
      </c>
      <c r="L69" s="789" t="str">
        <f>IF($B69=0,"",_xlfn.XLOOKUP($B69,INPUT_DATA!$BQ:$BQ,INPUT_DATA!CE:CE))</f>
        <v/>
      </c>
      <c r="M69" s="789" t="str">
        <f>IF($B69=0,"",_xlfn.XLOOKUP($B69,INPUT_DATA!$BQ:$BQ,INPUT_DATA!CF:CF))</f>
        <v/>
      </c>
      <c r="N69" s="789" t="str">
        <f>IF($B69=0,"",_xlfn.XLOOKUP($B69,INPUT_DATA!$BQ:$BQ,INPUT_DATA!CG:CG))</f>
        <v/>
      </c>
      <c r="O69" s="789" t="str">
        <f>IF($B69=0,"",_xlfn.XLOOKUP($B69,INPUT_DATA!$BQ:$BQ,INPUT_DATA!CH:CH))</f>
        <v/>
      </c>
    </row>
    <row r="70" spans="2:15" x14ac:dyDescent="0.25">
      <c r="B70" s="785">
        <f>'03 - Monthly Asset Follow up'!B75</f>
        <v>0</v>
      </c>
      <c r="C70" s="417" t="str">
        <f>IF($B70=0,"",_xlfn.XLOOKUP($B70,INPUT_DATA!$BQ:$BQ,INPUT_DATA!BR:BR))</f>
        <v/>
      </c>
      <c r="D70" s="417" t="str">
        <f>IF($B70=0,"",_xlfn.XLOOKUP($B70,INPUT_DATA!$BQ:$BQ,INPUT_DATA!BS:BS))</f>
        <v/>
      </c>
      <c r="E70" s="417" t="str">
        <f>IF($B70=0,"",_xlfn.XLOOKUP($B70,INPUT_DATA!$BQ:$BQ,INPUT_DATA!BT:BT))</f>
        <v/>
      </c>
      <c r="F70" s="417" t="str">
        <f>IF($B70=0,"",_xlfn.XLOOKUP($B70,INPUT_DATA!$BQ:$BQ,INPUT_DATA!BU:BU))</f>
        <v/>
      </c>
      <c r="G70" s="417" t="str">
        <f>IF($B70=0,"",_xlfn.XLOOKUP($B70,INPUT_DATA!$BQ:$BQ,INPUT_DATA!BV:BV))</f>
        <v/>
      </c>
      <c r="H70" s="417" t="str">
        <f>IF($B70=0,"",_xlfn.XLOOKUP($B70,INPUT_DATA!$BQ:$BQ,INPUT_DATA!BW:BW))</f>
        <v/>
      </c>
      <c r="I70" s="417" t="str">
        <f>IF($B70=0,"",_xlfn.XLOOKUP($B70,INPUT_DATA!$BQ:$BQ,INPUT_DATA!BX:BX))</f>
        <v/>
      </c>
      <c r="J70" s="417" t="str">
        <f>IF($B70=0,"",_xlfn.XLOOKUP($B70,INPUT_DATA!$BQ:$BQ,INPUT_DATA!BY:BY))</f>
        <v/>
      </c>
      <c r="K70" s="789" t="str">
        <f>IF($B70=0,"",_xlfn.XLOOKUP($B70,INPUT_DATA!$BQ:$BQ,INPUT_DATA!CD:CD))</f>
        <v/>
      </c>
      <c r="L70" s="789" t="str">
        <f>IF($B70=0,"",_xlfn.XLOOKUP($B70,INPUT_DATA!$BQ:$BQ,INPUT_DATA!CE:CE))</f>
        <v/>
      </c>
      <c r="M70" s="789" t="str">
        <f>IF($B70=0,"",_xlfn.XLOOKUP($B70,INPUT_DATA!$BQ:$BQ,INPUT_DATA!CF:CF))</f>
        <v/>
      </c>
      <c r="N70" s="789" t="str">
        <f>IF($B70=0,"",_xlfn.XLOOKUP($B70,INPUT_DATA!$BQ:$BQ,INPUT_DATA!CG:CG))</f>
        <v/>
      </c>
      <c r="O70" s="789" t="str">
        <f>IF($B70=0,"",_xlfn.XLOOKUP($B70,INPUT_DATA!$BQ:$BQ,INPUT_DATA!CH:CH))</f>
        <v/>
      </c>
    </row>
    <row r="71" spans="2:15" x14ac:dyDescent="0.25">
      <c r="B71" s="785">
        <f>'03 - Monthly Asset Follow up'!B76</f>
        <v>0</v>
      </c>
      <c r="C71" s="417" t="str">
        <f>IF($B71=0,"",_xlfn.XLOOKUP($B71,INPUT_DATA!$BQ:$BQ,INPUT_DATA!BR:BR))</f>
        <v/>
      </c>
      <c r="D71" s="417" t="str">
        <f>IF($B71=0,"",_xlfn.XLOOKUP($B71,INPUT_DATA!$BQ:$BQ,INPUT_DATA!BS:BS))</f>
        <v/>
      </c>
      <c r="E71" s="417" t="str">
        <f>IF($B71=0,"",_xlfn.XLOOKUP($B71,INPUT_DATA!$BQ:$BQ,INPUT_DATA!BT:BT))</f>
        <v/>
      </c>
      <c r="F71" s="417" t="str">
        <f>IF($B71=0,"",_xlfn.XLOOKUP($B71,INPUT_DATA!$BQ:$BQ,INPUT_DATA!BU:BU))</f>
        <v/>
      </c>
      <c r="G71" s="417" t="str">
        <f>IF($B71=0,"",_xlfn.XLOOKUP($B71,INPUT_DATA!$BQ:$BQ,INPUT_DATA!BV:BV))</f>
        <v/>
      </c>
      <c r="H71" s="417" t="str">
        <f>IF($B71=0,"",_xlfn.XLOOKUP($B71,INPUT_DATA!$BQ:$BQ,INPUT_DATA!BW:BW))</f>
        <v/>
      </c>
      <c r="I71" s="417" t="str">
        <f>IF($B71=0,"",_xlfn.XLOOKUP($B71,INPUT_DATA!$BQ:$BQ,INPUT_DATA!BX:BX))</f>
        <v/>
      </c>
      <c r="J71" s="417" t="str">
        <f>IF($B71=0,"",_xlfn.XLOOKUP($B71,INPUT_DATA!$BQ:$BQ,INPUT_DATA!BY:BY))</f>
        <v/>
      </c>
      <c r="K71" s="789" t="str">
        <f>IF($B71=0,"",_xlfn.XLOOKUP($B71,INPUT_DATA!$BQ:$BQ,INPUT_DATA!CD:CD))</f>
        <v/>
      </c>
      <c r="L71" s="789" t="str">
        <f>IF($B71=0,"",_xlfn.XLOOKUP($B71,INPUT_DATA!$BQ:$BQ,INPUT_DATA!CE:CE))</f>
        <v/>
      </c>
      <c r="M71" s="789" t="str">
        <f>IF($B71=0,"",_xlfn.XLOOKUP($B71,INPUT_DATA!$BQ:$BQ,INPUT_DATA!CF:CF))</f>
        <v/>
      </c>
      <c r="N71" s="789" t="str">
        <f>IF($B71=0,"",_xlfn.XLOOKUP($B71,INPUT_DATA!$BQ:$BQ,INPUT_DATA!CG:CG))</f>
        <v/>
      </c>
      <c r="O71" s="789" t="str">
        <f>IF($B71=0,"",_xlfn.XLOOKUP($B71,INPUT_DATA!$BQ:$BQ,INPUT_DATA!CH:CH))</f>
        <v/>
      </c>
    </row>
    <row r="72" spans="2:15" x14ac:dyDescent="0.25">
      <c r="B72" s="785">
        <f>'03 - Monthly Asset Follow up'!B77</f>
        <v>0</v>
      </c>
      <c r="C72" s="417" t="str">
        <f>IF($B72=0,"",_xlfn.XLOOKUP($B72,INPUT_DATA!$BQ:$BQ,INPUT_DATA!BR:BR))</f>
        <v/>
      </c>
      <c r="D72" s="417" t="str">
        <f>IF($B72=0,"",_xlfn.XLOOKUP($B72,INPUT_DATA!$BQ:$BQ,INPUT_DATA!BS:BS))</f>
        <v/>
      </c>
      <c r="E72" s="417" t="str">
        <f>IF($B72=0,"",_xlfn.XLOOKUP($B72,INPUT_DATA!$BQ:$BQ,INPUT_DATA!BT:BT))</f>
        <v/>
      </c>
      <c r="F72" s="417" t="str">
        <f>IF($B72=0,"",_xlfn.XLOOKUP($B72,INPUT_DATA!$BQ:$BQ,INPUT_DATA!BU:BU))</f>
        <v/>
      </c>
      <c r="G72" s="417" t="str">
        <f>IF($B72=0,"",_xlfn.XLOOKUP($B72,INPUT_DATA!$BQ:$BQ,INPUT_DATA!BV:BV))</f>
        <v/>
      </c>
      <c r="H72" s="417" t="str">
        <f>IF($B72=0,"",_xlfn.XLOOKUP($B72,INPUT_DATA!$BQ:$BQ,INPUT_DATA!BW:BW))</f>
        <v/>
      </c>
      <c r="I72" s="417" t="str">
        <f>IF($B72=0,"",_xlfn.XLOOKUP($B72,INPUT_DATA!$BQ:$BQ,INPUT_DATA!BX:BX))</f>
        <v/>
      </c>
      <c r="J72" s="417" t="str">
        <f>IF($B72=0,"",_xlfn.XLOOKUP($B72,INPUT_DATA!$BQ:$BQ,INPUT_DATA!BY:BY))</f>
        <v/>
      </c>
      <c r="K72" s="789" t="str">
        <f>IF($B72=0,"",_xlfn.XLOOKUP($B72,INPUT_DATA!$BQ:$BQ,INPUT_DATA!CD:CD))</f>
        <v/>
      </c>
      <c r="L72" s="789" t="str">
        <f>IF($B72=0,"",_xlfn.XLOOKUP($B72,INPUT_DATA!$BQ:$BQ,INPUT_DATA!CE:CE))</f>
        <v/>
      </c>
      <c r="M72" s="789" t="str">
        <f>IF($B72=0,"",_xlfn.XLOOKUP($B72,INPUT_DATA!$BQ:$BQ,INPUT_DATA!CF:CF))</f>
        <v/>
      </c>
      <c r="N72" s="789" t="str">
        <f>IF($B72=0,"",_xlfn.XLOOKUP($B72,INPUT_DATA!$BQ:$BQ,INPUT_DATA!CG:CG))</f>
        <v/>
      </c>
      <c r="O72" s="789" t="str">
        <f>IF($B72=0,"",_xlfn.XLOOKUP($B72,INPUT_DATA!$BQ:$BQ,INPUT_DATA!CH:CH))</f>
        <v/>
      </c>
    </row>
  </sheetData>
  <phoneticPr fontId="111" type="noConversion"/>
  <conditionalFormatting sqref="B12:B72">
    <cfRule type="cellIs" dxfId="47" priority="1" operator="lessThanOrEqual">
      <formula>0</formula>
    </cfRule>
  </conditionalFormatting>
  <pageMargins left="0.7" right="0.7" top="0.75" bottom="0.75" header="0.3" footer="0.3"/>
  <pageSetup paperSize="9" scale="5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54C5-BD80-4CFD-8144-1BFE361F1126}">
  <sheetPr>
    <tabColor theme="0" tint="-0.249977111117893"/>
  </sheetPr>
  <dimension ref="A1:L72"/>
  <sheetViews>
    <sheetView showGridLines="0" zoomScale="80" zoomScaleNormal="80" workbookViewId="0">
      <selection activeCell="K33" sqref="K33"/>
    </sheetView>
  </sheetViews>
  <sheetFormatPr defaultColWidth="10.85546875" defaultRowHeight="15" x14ac:dyDescent="0.25"/>
  <cols>
    <col min="1" max="1" width="4.42578125" style="400" customWidth="1"/>
    <col min="2" max="2" width="23" style="400" customWidth="1"/>
    <col min="3" max="8" width="29.5703125" style="400" customWidth="1"/>
    <col min="9" max="9" width="3.5703125" style="400" customWidth="1"/>
    <col min="10" max="16384" width="10.85546875" style="400"/>
  </cols>
  <sheetData>
    <row r="1" spans="1:12" x14ac:dyDescent="0.25">
      <c r="A1" s="104"/>
      <c r="B1" s="104"/>
      <c r="C1" s="104"/>
      <c r="D1" s="104"/>
      <c r="E1" s="104"/>
      <c r="F1" s="104"/>
      <c r="G1" s="104"/>
      <c r="H1" s="104"/>
      <c r="I1" s="104"/>
      <c r="J1" s="104"/>
      <c r="K1" s="104"/>
    </row>
    <row r="2" spans="1:12" x14ac:dyDescent="0.25">
      <c r="A2" s="104"/>
      <c r="B2" s="106"/>
      <c r="C2" s="106"/>
      <c r="D2" s="106"/>
      <c r="E2" s="106"/>
      <c r="F2" s="299"/>
      <c r="G2" s="299"/>
      <c r="H2" s="299"/>
      <c r="I2" s="106"/>
      <c r="J2" s="106"/>
      <c r="K2" s="106"/>
    </row>
    <row r="3" spans="1:12" ht="14.45" customHeight="1" x14ac:dyDescent="0.25">
      <c r="A3" s="104"/>
      <c r="B3" s="106"/>
      <c r="C3" s="106"/>
      <c r="D3" s="106"/>
      <c r="E3" s="678"/>
      <c r="F3" s="683"/>
      <c r="G3" s="144" t="s">
        <v>134</v>
      </c>
      <c r="H3" s="684">
        <f>'00 - Cover'!$F$16</f>
        <v>45583</v>
      </c>
      <c r="I3" s="105"/>
      <c r="J3" s="105"/>
      <c r="K3" s="105"/>
    </row>
    <row r="4" spans="1:12" ht="14.45" customHeight="1" x14ac:dyDescent="0.25">
      <c r="A4" s="104"/>
      <c r="B4" s="106"/>
      <c r="C4" s="106"/>
      <c r="D4" s="106"/>
      <c r="E4" s="678"/>
      <c r="F4" s="683"/>
      <c r="G4" s="144" t="s">
        <v>655</v>
      </c>
      <c r="H4" s="684">
        <f>'00 - Cover'!$F$15</f>
        <v>45580</v>
      </c>
      <c r="I4" s="105"/>
      <c r="J4" s="105"/>
      <c r="K4" s="105"/>
    </row>
    <row r="5" spans="1:12" ht="14.45" customHeight="1" x14ac:dyDescent="0.25">
      <c r="A5" s="104"/>
      <c r="B5" s="106"/>
      <c r="C5" s="106"/>
      <c r="D5" s="106"/>
      <c r="E5" s="678"/>
      <c r="F5" s="683"/>
      <c r="G5" s="144" t="s">
        <v>94</v>
      </c>
      <c r="H5" s="684">
        <f>'00 - Cover'!$F$16</f>
        <v>45583</v>
      </c>
      <c r="I5" s="105"/>
      <c r="J5" s="105"/>
      <c r="K5" s="105"/>
    </row>
    <row r="6" spans="1:12" ht="14.45" customHeight="1" x14ac:dyDescent="0.25">
      <c r="A6" s="104"/>
      <c r="B6" s="106"/>
      <c r="C6" s="106"/>
      <c r="D6" s="106"/>
      <c r="E6" s="678"/>
      <c r="F6" s="683"/>
      <c r="G6" s="144" t="s">
        <v>87</v>
      </c>
      <c r="H6" s="684">
        <f>'00 - Cover'!$F$17</f>
        <v>45590</v>
      </c>
      <c r="I6" s="106"/>
      <c r="J6" s="106"/>
      <c r="K6" s="106"/>
    </row>
    <row r="7" spans="1:12" x14ac:dyDescent="0.25">
      <c r="A7" s="104"/>
      <c r="B7" s="106"/>
      <c r="C7" s="106"/>
      <c r="D7" s="106"/>
      <c r="E7" s="106"/>
      <c r="F7" s="106"/>
      <c r="G7" s="106"/>
      <c r="H7" s="106"/>
      <c r="I7" s="106"/>
      <c r="J7" s="106"/>
      <c r="K7" s="106"/>
      <c r="L7" s="106"/>
    </row>
    <row r="8" spans="1:12" x14ac:dyDescent="0.25">
      <c r="A8" s="399"/>
      <c r="J8" s="106"/>
      <c r="K8" s="106"/>
      <c r="L8" s="106"/>
    </row>
    <row r="9" spans="1:12" ht="15.75" x14ac:dyDescent="0.25">
      <c r="B9" s="581" t="s">
        <v>552</v>
      </c>
      <c r="C9" s="582"/>
      <c r="D9" s="583"/>
      <c r="E9" s="583"/>
      <c r="F9" s="583"/>
      <c r="G9" s="583"/>
      <c r="H9" s="583"/>
      <c r="I9" s="583"/>
      <c r="J9" s="106"/>
      <c r="K9" s="106"/>
      <c r="L9" s="106"/>
    </row>
    <row r="10" spans="1:12" ht="15.75" thickBot="1" x14ac:dyDescent="0.3">
      <c r="J10" s="106"/>
      <c r="K10" s="106"/>
      <c r="L10" s="106"/>
    </row>
    <row r="11" spans="1:12" ht="55.5" customHeight="1" thickBot="1" x14ac:dyDescent="0.3">
      <c r="A11" s="416"/>
      <c r="B11" s="601" t="s">
        <v>708</v>
      </c>
      <c r="C11" s="602" t="s">
        <v>554</v>
      </c>
      <c r="D11" s="602" t="s">
        <v>555</v>
      </c>
      <c r="E11" s="602" t="s">
        <v>556</v>
      </c>
      <c r="F11" s="602" t="s">
        <v>557</v>
      </c>
      <c r="G11" s="602" t="s">
        <v>558</v>
      </c>
      <c r="H11" s="603" t="s">
        <v>559</v>
      </c>
    </row>
    <row r="12" spans="1:12" ht="15.75" thickTop="1" x14ac:dyDescent="0.25">
      <c r="A12" s="416"/>
      <c r="B12" s="787">
        <f>'03 - Monthly Asset Follow up'!B17</f>
        <v>45565</v>
      </c>
      <c r="C12" s="598">
        <f>IF($B12=0,"",'03 - Monthly Asset Follow up'!D17)</f>
        <v>0</v>
      </c>
      <c r="D12" s="599">
        <f t="shared" ref="D12:H27" si="0">IF($B12=0,"",IF(D13="",C12,C12+D13))</f>
        <v>751085014.37</v>
      </c>
      <c r="E12" s="598">
        <f>IF($B12=0,"",_xlfn.XLOOKUP($B12,INPUT_DATA!$BQ:$BQ,INPUT_DATA!BZ:BZ))</f>
        <v>3515.46</v>
      </c>
      <c r="F12" s="599">
        <f t="shared" si="0"/>
        <v>6788.29</v>
      </c>
      <c r="G12" s="598">
        <f>IF($B12=0,"",'04 - Monthly Collection'!AA13)</f>
        <v>3272.83</v>
      </c>
      <c r="H12" s="600">
        <f t="shared" si="0"/>
        <v>3272.83</v>
      </c>
    </row>
    <row r="13" spans="1:12" x14ac:dyDescent="0.25">
      <c r="A13" s="416"/>
      <c r="B13" s="785">
        <f>'03 - Monthly Asset Follow up'!B18</f>
        <v>45535</v>
      </c>
      <c r="C13" s="417">
        <f>IF($B13=0,"",'03 - Monthly Asset Follow up'!D18)</f>
        <v>0</v>
      </c>
      <c r="D13" s="418">
        <f t="shared" si="0"/>
        <v>751085014.37</v>
      </c>
      <c r="E13" s="791">
        <f>IF($B13=0,"",_xlfn.XLOOKUP($B13,INPUT_DATA!$BQ:$BQ,INPUT_DATA!BZ:BZ))</f>
        <v>0</v>
      </c>
      <c r="F13" s="418">
        <f t="shared" si="0"/>
        <v>3272.83</v>
      </c>
      <c r="G13" s="417">
        <f>IF($B13=0,"",'04 - Monthly Collection'!AA14)</f>
        <v>0</v>
      </c>
      <c r="H13" s="419">
        <f t="shared" si="0"/>
        <v>0</v>
      </c>
    </row>
    <row r="14" spans="1:12" x14ac:dyDescent="0.25">
      <c r="A14" s="416"/>
      <c r="B14" s="785">
        <f>'03 - Monthly Asset Follow up'!B19</f>
        <v>45504</v>
      </c>
      <c r="C14" s="417">
        <f>IF($B14=0,"",'03 - Monthly Asset Follow up'!D19)</f>
        <v>0</v>
      </c>
      <c r="D14" s="418">
        <f t="shared" si="0"/>
        <v>751085014.37</v>
      </c>
      <c r="E14" s="791">
        <f>IF($B14=0,"",_xlfn.XLOOKUP($B14,INPUT_DATA!$BQ:$BQ,INPUT_DATA!BZ:BZ))</f>
        <v>3272.83</v>
      </c>
      <c r="F14" s="418">
        <f t="shared" si="0"/>
        <v>3272.83</v>
      </c>
      <c r="G14" s="417">
        <f>IF($B14=0,"",'04 - Monthly Collection'!AA15)</f>
        <v>0</v>
      </c>
      <c r="H14" s="419">
        <f t="shared" si="0"/>
        <v>0</v>
      </c>
    </row>
    <row r="15" spans="1:12" x14ac:dyDescent="0.25">
      <c r="B15" s="785">
        <f>'03 - Monthly Asset Follow up'!B20</f>
        <v>45473</v>
      </c>
      <c r="C15" s="417">
        <f>IF($B15=0,"",'03 - Monthly Asset Follow up'!D20)</f>
        <v>0</v>
      </c>
      <c r="D15" s="418">
        <f t="shared" si="0"/>
        <v>751085014.37</v>
      </c>
      <c r="E15" s="791">
        <f>IF($B15=0,"",_xlfn.XLOOKUP($B15,INPUT_DATA!$BQ:$BQ,INPUT_DATA!BZ:BZ))</f>
        <v>0</v>
      </c>
      <c r="F15" s="418">
        <f t="shared" si="0"/>
        <v>0</v>
      </c>
      <c r="G15" s="417">
        <f>IF($B15=0,"",'04 - Monthly Collection'!AA16)</f>
        <v>0</v>
      </c>
      <c r="H15" s="419">
        <f t="shared" si="0"/>
        <v>0</v>
      </c>
    </row>
    <row r="16" spans="1:12" x14ac:dyDescent="0.25">
      <c r="B16" s="785">
        <f>'03 - Monthly Asset Follow up'!B21</f>
        <v>45443</v>
      </c>
      <c r="C16" s="417">
        <f>IF($B16=0,"",'03 - Monthly Asset Follow up'!D21)</f>
        <v>0</v>
      </c>
      <c r="D16" s="418">
        <f t="shared" si="0"/>
        <v>751085014.37</v>
      </c>
      <c r="E16" s="791">
        <f>IF($B16=0,"",_xlfn.XLOOKUP($B16,INPUT_DATA!$BQ:$BQ,INPUT_DATA!BZ:BZ))</f>
        <v>0</v>
      </c>
      <c r="F16" s="418">
        <f t="shared" si="0"/>
        <v>0</v>
      </c>
      <c r="G16" s="417">
        <f>IF($B16=0,"",'04 - Monthly Collection'!AA17)</f>
        <v>0</v>
      </c>
      <c r="H16" s="419">
        <f t="shared" si="0"/>
        <v>0</v>
      </c>
    </row>
    <row r="17" spans="2:8" x14ac:dyDescent="0.25">
      <c r="B17" s="785">
        <f>'03 - Monthly Asset Follow up'!B22</f>
        <v>45412</v>
      </c>
      <c r="C17" s="417">
        <f>IF($B17=0,"",'03 - Monthly Asset Follow up'!D22)</f>
        <v>0</v>
      </c>
      <c r="D17" s="418">
        <f>IF($B17=0,"",IF(D18="",C17,C17+D18))</f>
        <v>751085014.37</v>
      </c>
      <c r="E17" s="791">
        <f>IF($B17=0,"",_xlfn.XLOOKUP($B17,INPUT_DATA!$BQ:$BQ,INPUT_DATA!BZ:BZ))</f>
        <v>0</v>
      </c>
      <c r="F17" s="418">
        <f t="shared" si="0"/>
        <v>0</v>
      </c>
      <c r="G17" s="417">
        <f>IF($B17=0,"",'04 - Monthly Collection'!AA18)</f>
        <v>0</v>
      </c>
      <c r="H17" s="419">
        <f t="shared" si="0"/>
        <v>0</v>
      </c>
    </row>
    <row r="18" spans="2:8" x14ac:dyDescent="0.25">
      <c r="B18" s="785">
        <f>'03 - Monthly Asset Follow up'!B23</f>
        <v>45382</v>
      </c>
      <c r="C18" s="417">
        <f>IF($B18=0,"",'03 - Monthly Asset Follow up'!D23)</f>
        <v>0</v>
      </c>
      <c r="D18" s="418">
        <f t="shared" ref="D18:D72" si="1">IF($B18=0,"",IF(D19="",C18,C18+D19))</f>
        <v>751085014.37</v>
      </c>
      <c r="E18" s="791">
        <f>IF($B18=0,"",_xlfn.XLOOKUP($B18,INPUT_DATA!$BQ:$BQ,INPUT_DATA!BZ:BZ))</f>
        <v>0</v>
      </c>
      <c r="F18" s="418">
        <f t="shared" si="0"/>
        <v>0</v>
      </c>
      <c r="G18" s="417">
        <f>IF($B18=0,"",'04 - Monthly Collection'!AA19)</f>
        <v>0</v>
      </c>
      <c r="H18" s="419">
        <f t="shared" si="0"/>
        <v>0</v>
      </c>
    </row>
    <row r="19" spans="2:8" x14ac:dyDescent="0.25">
      <c r="B19" s="785">
        <f>'03 - Monthly Asset Follow up'!B24</f>
        <v>45351</v>
      </c>
      <c r="C19" s="417">
        <f>IF($B19=0,"",'03 - Monthly Asset Follow up'!D24)</f>
        <v>0</v>
      </c>
      <c r="D19" s="418">
        <f t="shared" si="1"/>
        <v>751085014.37</v>
      </c>
      <c r="E19" s="791">
        <f>IF($B19=0,"",_xlfn.XLOOKUP($B19,INPUT_DATA!$BQ:$BQ,INPUT_DATA!BZ:BZ))</f>
        <v>0</v>
      </c>
      <c r="F19" s="418">
        <f t="shared" si="0"/>
        <v>0</v>
      </c>
      <c r="G19" s="417">
        <f>IF($B19=0,"",'04 - Monthly Collection'!AA20)</f>
        <v>0</v>
      </c>
      <c r="H19" s="419">
        <f t="shared" si="0"/>
        <v>0</v>
      </c>
    </row>
    <row r="20" spans="2:8" x14ac:dyDescent="0.25">
      <c r="B20" s="785">
        <f>'03 - Monthly Asset Follow up'!B25</f>
        <v>45322</v>
      </c>
      <c r="C20" s="417">
        <f>IF($B20=0,"",'03 - Monthly Asset Follow up'!D25)</f>
        <v>0</v>
      </c>
      <c r="D20" s="418">
        <f t="shared" si="1"/>
        <v>751085014.37</v>
      </c>
      <c r="E20" s="791">
        <f>IF($B20=0,"",_xlfn.XLOOKUP($B20,INPUT_DATA!$BQ:$BQ,INPUT_DATA!BZ:BZ))</f>
        <v>0</v>
      </c>
      <c r="F20" s="418">
        <f t="shared" si="0"/>
        <v>0</v>
      </c>
      <c r="G20" s="417">
        <f>IF($B20=0,"",'04 - Monthly Collection'!AA21)</f>
        <v>0</v>
      </c>
      <c r="H20" s="419">
        <f t="shared" si="0"/>
        <v>0</v>
      </c>
    </row>
    <row r="21" spans="2:8" x14ac:dyDescent="0.25">
      <c r="B21" s="785">
        <f>'03 - Monthly Asset Follow up'!B26</f>
        <v>45291</v>
      </c>
      <c r="C21" s="417">
        <f>IF($B21=0,"",'03 - Monthly Asset Follow up'!D26)</f>
        <v>0</v>
      </c>
      <c r="D21" s="418">
        <f t="shared" si="1"/>
        <v>751085014.37</v>
      </c>
      <c r="E21" s="791">
        <f>IF($B21=0,"",_xlfn.XLOOKUP($B21,INPUT_DATA!$BQ:$BQ,INPUT_DATA!BZ:BZ))</f>
        <v>0</v>
      </c>
      <c r="F21" s="418">
        <f t="shared" si="0"/>
        <v>0</v>
      </c>
      <c r="G21" s="417">
        <f>IF($B21=0,"",'04 - Monthly Collection'!AA22)</f>
        <v>0</v>
      </c>
      <c r="H21" s="419">
        <f t="shared" si="0"/>
        <v>0</v>
      </c>
    </row>
    <row r="22" spans="2:8" x14ac:dyDescent="0.25">
      <c r="B22" s="785">
        <f>'03 - Monthly Asset Follow up'!B27</f>
        <v>45260</v>
      </c>
      <c r="C22" s="417">
        <f>IF($B22=0,"",'03 - Monthly Asset Follow up'!D27)</f>
        <v>0</v>
      </c>
      <c r="D22" s="418">
        <f t="shared" si="1"/>
        <v>751085014.37</v>
      </c>
      <c r="E22" s="791">
        <f>IF($B22=0,"",_xlfn.XLOOKUP($B22,INPUT_DATA!$BQ:$BQ,INPUT_DATA!BZ:BZ))</f>
        <v>0</v>
      </c>
      <c r="F22" s="418">
        <f t="shared" si="0"/>
        <v>0</v>
      </c>
      <c r="G22" s="417">
        <f>IF($B22=0,"",'04 - Monthly Collection'!AA23)</f>
        <v>0</v>
      </c>
      <c r="H22" s="419">
        <f t="shared" si="0"/>
        <v>0</v>
      </c>
    </row>
    <row r="23" spans="2:8" x14ac:dyDescent="0.25">
      <c r="B23" s="785">
        <f>'03 - Monthly Asset Follow up'!B28</f>
        <v>45230</v>
      </c>
      <c r="C23" s="417">
        <f>IF($B23=0,"",'03 - Monthly Asset Follow up'!D28)</f>
        <v>751085014.37</v>
      </c>
      <c r="D23" s="418">
        <f t="shared" si="1"/>
        <v>751085014.37</v>
      </c>
      <c r="E23" s="791">
        <f>IF($B23=0,"",_xlfn.XLOOKUP($B23,INPUT_DATA!$BQ:$BQ,INPUT_DATA!BZ:BZ))</f>
        <v>0</v>
      </c>
      <c r="F23" s="418">
        <f t="shared" si="0"/>
        <v>0</v>
      </c>
      <c r="G23" s="417">
        <f>IF($B23=0,"",'04 - Monthly Collection'!AA24)</f>
        <v>0</v>
      </c>
      <c r="H23" s="419">
        <f t="shared" si="0"/>
        <v>0</v>
      </c>
    </row>
    <row r="24" spans="2:8" x14ac:dyDescent="0.25">
      <c r="B24" s="785">
        <f>'03 - Monthly Asset Follow up'!B29</f>
        <v>0</v>
      </c>
      <c r="C24" s="417" t="str">
        <f>IF($B24=0,"",'03 - Monthly Asset Follow up'!D29)</f>
        <v/>
      </c>
      <c r="D24" s="418" t="str">
        <f t="shared" si="1"/>
        <v/>
      </c>
      <c r="E24" s="791" t="str">
        <f>IF($B24=0,"",_xlfn.XLOOKUP($B24,INPUT_DATA!$BQ:$BQ,INPUT_DATA!BZ:BZ))</f>
        <v/>
      </c>
      <c r="F24" s="418" t="str">
        <f t="shared" si="0"/>
        <v/>
      </c>
      <c r="G24" s="417" t="str">
        <f>IF($B24=0,"",'04 - Monthly Collection'!AA25)</f>
        <v/>
      </c>
      <c r="H24" s="419" t="str">
        <f t="shared" si="0"/>
        <v/>
      </c>
    </row>
    <row r="25" spans="2:8" x14ac:dyDescent="0.25">
      <c r="B25" s="785">
        <f>'03 - Monthly Asset Follow up'!B30</f>
        <v>0</v>
      </c>
      <c r="C25" s="417" t="str">
        <f>IF($B25=0,"",'03 - Monthly Asset Follow up'!D30)</f>
        <v/>
      </c>
      <c r="D25" s="418" t="str">
        <f t="shared" si="1"/>
        <v/>
      </c>
      <c r="E25" s="791" t="str">
        <f>IF($B25=0,"",_xlfn.XLOOKUP($B25,INPUT_DATA!$BQ:$BQ,INPUT_DATA!BZ:BZ))</f>
        <v/>
      </c>
      <c r="F25" s="418" t="str">
        <f t="shared" si="0"/>
        <v/>
      </c>
      <c r="G25" s="417" t="str">
        <f>IF($B25=0,"",'04 - Monthly Collection'!AA26)</f>
        <v/>
      </c>
      <c r="H25" s="419" t="str">
        <f t="shared" si="0"/>
        <v/>
      </c>
    </row>
    <row r="26" spans="2:8" x14ac:dyDescent="0.25">
      <c r="B26" s="785">
        <f>'03 - Monthly Asset Follow up'!B31</f>
        <v>0</v>
      </c>
      <c r="C26" s="417" t="str">
        <f>IF($B26=0,"",'03 - Monthly Asset Follow up'!D31)</f>
        <v/>
      </c>
      <c r="D26" s="418" t="str">
        <f t="shared" si="1"/>
        <v/>
      </c>
      <c r="E26" s="791" t="str">
        <f>IF($B26=0,"",_xlfn.XLOOKUP($B26,INPUT_DATA!$BQ:$BQ,INPUT_DATA!BZ:BZ))</f>
        <v/>
      </c>
      <c r="F26" s="418" t="str">
        <f t="shared" si="0"/>
        <v/>
      </c>
      <c r="G26" s="417" t="str">
        <f>IF($B26=0,"",'04 - Monthly Collection'!AA27)</f>
        <v/>
      </c>
      <c r="H26" s="419" t="str">
        <f t="shared" si="0"/>
        <v/>
      </c>
    </row>
    <row r="27" spans="2:8" x14ac:dyDescent="0.25">
      <c r="B27" s="785">
        <f>'03 - Monthly Asset Follow up'!B32</f>
        <v>0</v>
      </c>
      <c r="C27" s="417" t="str">
        <f>IF($B27=0,"",'03 - Monthly Asset Follow up'!D32)</f>
        <v/>
      </c>
      <c r="D27" s="418" t="str">
        <f t="shared" si="1"/>
        <v/>
      </c>
      <c r="E27" s="791" t="str">
        <f>IF($B27=0,"",_xlfn.XLOOKUP($B27,INPUT_DATA!$BQ:$BQ,INPUT_DATA!BZ:BZ))</f>
        <v/>
      </c>
      <c r="F27" s="418" t="str">
        <f t="shared" si="0"/>
        <v/>
      </c>
      <c r="G27" s="417" t="str">
        <f>IF($B27=0,"",'04 - Monthly Collection'!AA28)</f>
        <v/>
      </c>
      <c r="H27" s="419" t="str">
        <f t="shared" si="0"/>
        <v/>
      </c>
    </row>
    <row r="28" spans="2:8" x14ac:dyDescent="0.25">
      <c r="B28" s="785">
        <f>'03 - Monthly Asset Follow up'!B33</f>
        <v>0</v>
      </c>
      <c r="C28" s="417" t="str">
        <f>IF($B28=0,"",'03 - Monthly Asset Follow up'!D33)</f>
        <v/>
      </c>
      <c r="D28" s="418" t="str">
        <f t="shared" si="1"/>
        <v/>
      </c>
      <c r="E28" s="791" t="str">
        <f>IF($B28=0,"",_xlfn.XLOOKUP($B28,INPUT_DATA!$BQ:$BQ,INPUT_DATA!BZ:BZ))</f>
        <v/>
      </c>
      <c r="F28" s="418" t="str">
        <f t="shared" ref="F28:F72" si="2">IF($B28=0,"",IF(F29="",E28,E28+F29))</f>
        <v/>
      </c>
      <c r="G28" s="417" t="str">
        <f>IF($B28=0,"",'04 - Monthly Collection'!AA29)</f>
        <v/>
      </c>
      <c r="H28" s="419" t="str">
        <f t="shared" ref="H28:H72" si="3">IF($B28=0,"",IF(H29="",G28,G28+H29))</f>
        <v/>
      </c>
    </row>
    <row r="29" spans="2:8" x14ac:dyDescent="0.25">
      <c r="B29" s="785">
        <f>'03 - Monthly Asset Follow up'!B34</f>
        <v>0</v>
      </c>
      <c r="C29" s="417" t="str">
        <f>IF($B29=0,"",'03 - Monthly Asset Follow up'!D34)</f>
        <v/>
      </c>
      <c r="D29" s="418" t="str">
        <f t="shared" si="1"/>
        <v/>
      </c>
      <c r="E29" s="791" t="str">
        <f>IF($B29=0,"",_xlfn.XLOOKUP($B29,INPUT_DATA!$BQ:$BQ,INPUT_DATA!BZ:BZ))</f>
        <v/>
      </c>
      <c r="F29" s="418" t="str">
        <f t="shared" si="2"/>
        <v/>
      </c>
      <c r="G29" s="417" t="str">
        <f>IF($B29=0,"",'04 - Monthly Collection'!AA30)</f>
        <v/>
      </c>
      <c r="H29" s="419" t="str">
        <f t="shared" si="3"/>
        <v/>
      </c>
    </row>
    <row r="30" spans="2:8" x14ac:dyDescent="0.25">
      <c r="B30" s="785">
        <f>'03 - Monthly Asset Follow up'!B35</f>
        <v>0</v>
      </c>
      <c r="C30" s="417" t="str">
        <f>IF($B30=0,"",'03 - Monthly Asset Follow up'!D35)</f>
        <v/>
      </c>
      <c r="D30" s="418" t="str">
        <f t="shared" si="1"/>
        <v/>
      </c>
      <c r="E30" s="791" t="str">
        <f>IF($B30=0,"",_xlfn.XLOOKUP($B30,INPUT_DATA!$BQ:$BQ,INPUT_DATA!BZ:BZ))</f>
        <v/>
      </c>
      <c r="F30" s="418" t="str">
        <f t="shared" si="2"/>
        <v/>
      </c>
      <c r="G30" s="417" t="str">
        <f>IF($B30=0,"",'04 - Monthly Collection'!AA31)</f>
        <v/>
      </c>
      <c r="H30" s="419" t="str">
        <f t="shared" si="3"/>
        <v/>
      </c>
    </row>
    <row r="31" spans="2:8" x14ac:dyDescent="0.25">
      <c r="B31" s="785">
        <f>'03 - Monthly Asset Follow up'!B36</f>
        <v>0</v>
      </c>
      <c r="C31" s="417" t="str">
        <f>IF($B31=0,"",'03 - Monthly Asset Follow up'!D36)</f>
        <v/>
      </c>
      <c r="D31" s="418" t="str">
        <f t="shared" si="1"/>
        <v/>
      </c>
      <c r="E31" s="791" t="str">
        <f>IF($B31=0,"",_xlfn.XLOOKUP($B31,INPUT_DATA!$BQ:$BQ,INPUT_DATA!BZ:BZ))</f>
        <v/>
      </c>
      <c r="F31" s="418" t="str">
        <f t="shared" si="2"/>
        <v/>
      </c>
      <c r="G31" s="417" t="str">
        <f>IF($B31=0,"",'04 - Monthly Collection'!AA32)</f>
        <v/>
      </c>
      <c r="H31" s="419" t="str">
        <f t="shared" si="3"/>
        <v/>
      </c>
    </row>
    <row r="32" spans="2:8" x14ac:dyDescent="0.25">
      <c r="B32" s="785">
        <f>'03 - Monthly Asset Follow up'!B37</f>
        <v>0</v>
      </c>
      <c r="C32" s="417" t="str">
        <f>IF($B32=0,"",'03 - Monthly Asset Follow up'!D37)</f>
        <v/>
      </c>
      <c r="D32" s="418" t="str">
        <f t="shared" si="1"/>
        <v/>
      </c>
      <c r="E32" s="791" t="str">
        <f>IF($B32=0,"",_xlfn.XLOOKUP($B32,INPUT_DATA!$BQ:$BQ,INPUT_DATA!BZ:BZ))</f>
        <v/>
      </c>
      <c r="F32" s="418" t="str">
        <f t="shared" si="2"/>
        <v/>
      </c>
      <c r="G32" s="417" t="str">
        <f>IF($B32=0,"",'04 - Monthly Collection'!AA33)</f>
        <v/>
      </c>
      <c r="H32" s="419" t="str">
        <f t="shared" si="3"/>
        <v/>
      </c>
    </row>
    <row r="33" spans="2:8" x14ac:dyDescent="0.25">
      <c r="B33" s="785">
        <f>'03 - Monthly Asset Follow up'!B38</f>
        <v>0</v>
      </c>
      <c r="C33" s="417" t="str">
        <f>IF($B33=0,"",'03 - Monthly Asset Follow up'!D38)</f>
        <v/>
      </c>
      <c r="D33" s="418" t="str">
        <f t="shared" si="1"/>
        <v/>
      </c>
      <c r="E33" s="791" t="str">
        <f>IF($B33=0,"",_xlfn.XLOOKUP($B33,INPUT_DATA!$BQ:$BQ,INPUT_DATA!BZ:BZ))</f>
        <v/>
      </c>
      <c r="F33" s="418" t="str">
        <f t="shared" si="2"/>
        <v/>
      </c>
      <c r="G33" s="417" t="str">
        <f>IF($B33=0,"",'04 - Monthly Collection'!AA34)</f>
        <v/>
      </c>
      <c r="H33" s="419" t="str">
        <f t="shared" si="3"/>
        <v/>
      </c>
    </row>
    <row r="34" spans="2:8" x14ac:dyDescent="0.25">
      <c r="B34" s="785">
        <f>'03 - Monthly Asset Follow up'!B39</f>
        <v>0</v>
      </c>
      <c r="C34" s="417" t="str">
        <f>IF($B34=0,"",'03 - Monthly Asset Follow up'!D39)</f>
        <v/>
      </c>
      <c r="D34" s="418" t="str">
        <f t="shared" si="1"/>
        <v/>
      </c>
      <c r="E34" s="791" t="str">
        <f>IF($B34=0,"",_xlfn.XLOOKUP($B34,INPUT_DATA!$BQ:$BQ,INPUT_DATA!BZ:BZ))</f>
        <v/>
      </c>
      <c r="F34" s="418" t="str">
        <f t="shared" si="2"/>
        <v/>
      </c>
      <c r="G34" s="417" t="str">
        <f>IF($B34=0,"",'04 - Monthly Collection'!AA35)</f>
        <v/>
      </c>
      <c r="H34" s="419" t="str">
        <f t="shared" si="3"/>
        <v/>
      </c>
    </row>
    <row r="35" spans="2:8" x14ac:dyDescent="0.25">
      <c r="B35" s="785">
        <f>'03 - Monthly Asset Follow up'!B40</f>
        <v>0</v>
      </c>
      <c r="C35" s="417" t="str">
        <f>IF($B35=0,"",'03 - Monthly Asset Follow up'!D40)</f>
        <v/>
      </c>
      <c r="D35" s="418" t="str">
        <f t="shared" si="1"/>
        <v/>
      </c>
      <c r="E35" s="791" t="str">
        <f>IF($B35=0,"",_xlfn.XLOOKUP($B35,INPUT_DATA!$BQ:$BQ,INPUT_DATA!BZ:BZ))</f>
        <v/>
      </c>
      <c r="F35" s="418" t="str">
        <f t="shared" si="2"/>
        <v/>
      </c>
      <c r="G35" s="417" t="str">
        <f>IF($B35=0,"",'04 - Monthly Collection'!AA36)</f>
        <v/>
      </c>
      <c r="H35" s="419" t="str">
        <f t="shared" si="3"/>
        <v/>
      </c>
    </row>
    <row r="36" spans="2:8" x14ac:dyDescent="0.25">
      <c r="B36" s="785">
        <f>'03 - Monthly Asset Follow up'!B41</f>
        <v>0</v>
      </c>
      <c r="C36" s="417" t="str">
        <f>IF($B36=0,"",'03 - Monthly Asset Follow up'!D41)</f>
        <v/>
      </c>
      <c r="D36" s="418" t="str">
        <f t="shared" si="1"/>
        <v/>
      </c>
      <c r="E36" s="791" t="str">
        <f>IF($B36=0,"",_xlfn.XLOOKUP($B36,INPUT_DATA!$BQ:$BQ,INPUT_DATA!BZ:BZ))</f>
        <v/>
      </c>
      <c r="F36" s="418" t="str">
        <f t="shared" si="2"/>
        <v/>
      </c>
      <c r="G36" s="417" t="str">
        <f>IF($B36=0,"",'04 - Monthly Collection'!AA37)</f>
        <v/>
      </c>
      <c r="H36" s="419" t="str">
        <f t="shared" si="3"/>
        <v/>
      </c>
    </row>
    <row r="37" spans="2:8" x14ac:dyDescent="0.25">
      <c r="B37" s="785">
        <f>'03 - Monthly Asset Follow up'!B42</f>
        <v>0</v>
      </c>
      <c r="C37" s="417" t="str">
        <f>IF($B37=0,"",'03 - Monthly Asset Follow up'!D42)</f>
        <v/>
      </c>
      <c r="D37" s="418" t="str">
        <f t="shared" si="1"/>
        <v/>
      </c>
      <c r="E37" s="791" t="str">
        <f>IF($B37=0,"",_xlfn.XLOOKUP($B37,INPUT_DATA!$BQ:$BQ,INPUT_DATA!BZ:BZ))</f>
        <v/>
      </c>
      <c r="F37" s="418" t="str">
        <f t="shared" si="2"/>
        <v/>
      </c>
      <c r="G37" s="417" t="str">
        <f>IF($B37=0,"",'04 - Monthly Collection'!AA38)</f>
        <v/>
      </c>
      <c r="H37" s="419" t="str">
        <f t="shared" si="3"/>
        <v/>
      </c>
    </row>
    <row r="38" spans="2:8" x14ac:dyDescent="0.25">
      <c r="B38" s="785">
        <f>'03 - Monthly Asset Follow up'!B43</f>
        <v>0</v>
      </c>
      <c r="C38" s="417" t="str">
        <f>IF($B38=0,"",'03 - Monthly Asset Follow up'!D43)</f>
        <v/>
      </c>
      <c r="D38" s="418" t="str">
        <f t="shared" si="1"/>
        <v/>
      </c>
      <c r="E38" s="791" t="str">
        <f>IF($B38=0,"",_xlfn.XLOOKUP($B38,INPUT_DATA!$BQ:$BQ,INPUT_DATA!BZ:BZ))</f>
        <v/>
      </c>
      <c r="F38" s="418" t="str">
        <f t="shared" si="2"/>
        <v/>
      </c>
      <c r="G38" s="417" t="str">
        <f>IF($B38=0,"",'04 - Monthly Collection'!AA39)</f>
        <v/>
      </c>
      <c r="H38" s="419" t="str">
        <f t="shared" si="3"/>
        <v/>
      </c>
    </row>
    <row r="39" spans="2:8" x14ac:dyDescent="0.25">
      <c r="B39" s="785">
        <f>'03 - Monthly Asset Follow up'!B44</f>
        <v>0</v>
      </c>
      <c r="C39" s="417" t="str">
        <f>IF($B39=0,"",'03 - Monthly Asset Follow up'!D44)</f>
        <v/>
      </c>
      <c r="D39" s="418" t="str">
        <f t="shared" si="1"/>
        <v/>
      </c>
      <c r="E39" s="791" t="str">
        <f>IF($B39=0,"",_xlfn.XLOOKUP($B39,INPUT_DATA!$BQ:$BQ,INPUT_DATA!BZ:BZ))</f>
        <v/>
      </c>
      <c r="F39" s="418" t="str">
        <f t="shared" si="2"/>
        <v/>
      </c>
      <c r="G39" s="417" t="str">
        <f>IF($B39=0,"",'04 - Monthly Collection'!AA40)</f>
        <v/>
      </c>
      <c r="H39" s="419" t="str">
        <f t="shared" si="3"/>
        <v/>
      </c>
    </row>
    <row r="40" spans="2:8" x14ac:dyDescent="0.25">
      <c r="B40" s="785">
        <f>'03 - Monthly Asset Follow up'!B45</f>
        <v>0</v>
      </c>
      <c r="C40" s="417" t="str">
        <f>IF($B40=0,"",'03 - Monthly Asset Follow up'!D45)</f>
        <v/>
      </c>
      <c r="D40" s="418" t="str">
        <f t="shared" si="1"/>
        <v/>
      </c>
      <c r="E40" s="791" t="str">
        <f>IF($B40=0,"",_xlfn.XLOOKUP($B40,INPUT_DATA!$BQ:$BQ,INPUT_DATA!BZ:BZ))</f>
        <v/>
      </c>
      <c r="F40" s="418" t="str">
        <f t="shared" si="2"/>
        <v/>
      </c>
      <c r="G40" s="417" t="str">
        <f>IF($B40=0,"",'04 - Monthly Collection'!AA41)</f>
        <v/>
      </c>
      <c r="H40" s="419" t="str">
        <f t="shared" si="3"/>
        <v/>
      </c>
    </row>
    <row r="41" spans="2:8" x14ac:dyDescent="0.25">
      <c r="B41" s="785">
        <f>'03 - Monthly Asset Follow up'!B46</f>
        <v>0</v>
      </c>
      <c r="C41" s="417" t="str">
        <f>IF($B41=0,"",'03 - Monthly Asset Follow up'!D46)</f>
        <v/>
      </c>
      <c r="D41" s="418" t="str">
        <f t="shared" si="1"/>
        <v/>
      </c>
      <c r="E41" s="791" t="str">
        <f>IF($B41=0,"",_xlfn.XLOOKUP($B41,INPUT_DATA!$BQ:$BQ,INPUT_DATA!BZ:BZ))</f>
        <v/>
      </c>
      <c r="F41" s="418" t="str">
        <f t="shared" si="2"/>
        <v/>
      </c>
      <c r="G41" s="417" t="str">
        <f>IF($B41=0,"",'04 - Monthly Collection'!AA42)</f>
        <v/>
      </c>
      <c r="H41" s="419" t="str">
        <f t="shared" si="3"/>
        <v/>
      </c>
    </row>
    <row r="42" spans="2:8" x14ac:dyDescent="0.25">
      <c r="B42" s="785">
        <f>'03 - Monthly Asset Follow up'!B47</f>
        <v>0</v>
      </c>
      <c r="C42" s="417" t="str">
        <f>IF($B42=0,"",'03 - Monthly Asset Follow up'!D47)</f>
        <v/>
      </c>
      <c r="D42" s="418" t="str">
        <f t="shared" si="1"/>
        <v/>
      </c>
      <c r="E42" s="791" t="str">
        <f>IF($B42=0,"",_xlfn.XLOOKUP($B42,INPUT_DATA!$BQ:$BQ,INPUT_DATA!BZ:BZ))</f>
        <v/>
      </c>
      <c r="F42" s="418" t="str">
        <f t="shared" si="2"/>
        <v/>
      </c>
      <c r="G42" s="417" t="str">
        <f>IF($B42=0,"",'04 - Monthly Collection'!AA43)</f>
        <v/>
      </c>
      <c r="H42" s="419" t="str">
        <f t="shared" si="3"/>
        <v/>
      </c>
    </row>
    <row r="43" spans="2:8" x14ac:dyDescent="0.25">
      <c r="B43" s="785">
        <f>'03 - Monthly Asset Follow up'!B48</f>
        <v>0</v>
      </c>
      <c r="C43" s="417" t="str">
        <f>IF($B43=0,"",'03 - Monthly Asset Follow up'!D48)</f>
        <v/>
      </c>
      <c r="D43" s="418" t="str">
        <f t="shared" si="1"/>
        <v/>
      </c>
      <c r="E43" s="791" t="str">
        <f>IF($B43=0,"",_xlfn.XLOOKUP($B43,INPUT_DATA!$BQ:$BQ,INPUT_DATA!BZ:BZ))</f>
        <v/>
      </c>
      <c r="F43" s="418" t="str">
        <f t="shared" si="2"/>
        <v/>
      </c>
      <c r="G43" s="417" t="str">
        <f>IF($B43=0,"",'04 - Monthly Collection'!AA44)</f>
        <v/>
      </c>
      <c r="H43" s="419" t="str">
        <f t="shared" si="3"/>
        <v/>
      </c>
    </row>
    <row r="44" spans="2:8" x14ac:dyDescent="0.25">
      <c r="B44" s="785">
        <f>'03 - Monthly Asset Follow up'!B49</f>
        <v>0</v>
      </c>
      <c r="C44" s="417" t="str">
        <f>IF($B44=0,"",'03 - Monthly Asset Follow up'!D49)</f>
        <v/>
      </c>
      <c r="D44" s="418" t="str">
        <f t="shared" si="1"/>
        <v/>
      </c>
      <c r="E44" s="791" t="str">
        <f>IF($B44=0,"",_xlfn.XLOOKUP($B44,INPUT_DATA!$BQ:$BQ,INPUT_DATA!BZ:BZ))</f>
        <v/>
      </c>
      <c r="F44" s="418" t="str">
        <f t="shared" si="2"/>
        <v/>
      </c>
      <c r="G44" s="417" t="str">
        <f>IF($B44=0,"",'04 - Monthly Collection'!AA45)</f>
        <v/>
      </c>
      <c r="H44" s="419" t="str">
        <f t="shared" si="3"/>
        <v/>
      </c>
    </row>
    <row r="45" spans="2:8" x14ac:dyDescent="0.25">
      <c r="B45" s="785">
        <f>'03 - Monthly Asset Follow up'!B50</f>
        <v>0</v>
      </c>
      <c r="C45" s="417" t="str">
        <f>IF($B45=0,"",'03 - Monthly Asset Follow up'!D50)</f>
        <v/>
      </c>
      <c r="D45" s="418" t="str">
        <f t="shared" si="1"/>
        <v/>
      </c>
      <c r="E45" s="791" t="str">
        <f>IF($B45=0,"",_xlfn.XLOOKUP($B45,INPUT_DATA!$BQ:$BQ,INPUT_DATA!BZ:BZ))</f>
        <v/>
      </c>
      <c r="F45" s="418" t="str">
        <f t="shared" si="2"/>
        <v/>
      </c>
      <c r="G45" s="417" t="str">
        <f>IF($B45=0,"",'04 - Monthly Collection'!AA46)</f>
        <v/>
      </c>
      <c r="H45" s="419" t="str">
        <f t="shared" si="3"/>
        <v/>
      </c>
    </row>
    <row r="46" spans="2:8" x14ac:dyDescent="0.25">
      <c r="B46" s="785">
        <f>'03 - Monthly Asset Follow up'!B51</f>
        <v>0</v>
      </c>
      <c r="C46" s="417" t="str">
        <f>IF($B46=0,"",'03 - Monthly Asset Follow up'!D51)</f>
        <v/>
      </c>
      <c r="D46" s="418" t="str">
        <f t="shared" si="1"/>
        <v/>
      </c>
      <c r="E46" s="791" t="str">
        <f>IF($B46=0,"",_xlfn.XLOOKUP($B46,INPUT_DATA!$BQ:$BQ,INPUT_DATA!BZ:BZ))</f>
        <v/>
      </c>
      <c r="F46" s="418" t="str">
        <f t="shared" si="2"/>
        <v/>
      </c>
      <c r="G46" s="417" t="str">
        <f>IF($B46=0,"",'04 - Monthly Collection'!AA47)</f>
        <v/>
      </c>
      <c r="H46" s="419" t="str">
        <f t="shared" si="3"/>
        <v/>
      </c>
    </row>
    <row r="47" spans="2:8" x14ac:dyDescent="0.25">
      <c r="B47" s="785">
        <f>'03 - Monthly Asset Follow up'!B52</f>
        <v>0</v>
      </c>
      <c r="C47" s="417" t="str">
        <f>IF($B47=0,"",'03 - Monthly Asset Follow up'!D52)</f>
        <v/>
      </c>
      <c r="D47" s="418" t="str">
        <f t="shared" si="1"/>
        <v/>
      </c>
      <c r="E47" s="791" t="str">
        <f>IF($B47=0,"",_xlfn.XLOOKUP($B47,INPUT_DATA!$BQ:$BQ,INPUT_DATA!BZ:BZ))</f>
        <v/>
      </c>
      <c r="F47" s="418" t="str">
        <f t="shared" si="2"/>
        <v/>
      </c>
      <c r="G47" s="417" t="str">
        <f>IF($B47=0,"",'04 - Monthly Collection'!AA48)</f>
        <v/>
      </c>
      <c r="H47" s="419" t="str">
        <f t="shared" si="3"/>
        <v/>
      </c>
    </row>
    <row r="48" spans="2:8" x14ac:dyDescent="0.25">
      <c r="B48" s="785">
        <f>'03 - Monthly Asset Follow up'!B53</f>
        <v>0</v>
      </c>
      <c r="C48" s="417" t="str">
        <f>IF($B48=0,"",'03 - Monthly Asset Follow up'!D53)</f>
        <v/>
      </c>
      <c r="D48" s="418" t="str">
        <f t="shared" si="1"/>
        <v/>
      </c>
      <c r="E48" s="791" t="str">
        <f>IF($B48=0,"",_xlfn.XLOOKUP($B48,INPUT_DATA!$BQ:$BQ,INPUT_DATA!BZ:BZ))</f>
        <v/>
      </c>
      <c r="F48" s="418" t="str">
        <f t="shared" si="2"/>
        <v/>
      </c>
      <c r="G48" s="417" t="str">
        <f>IF($B48=0,"",'04 - Monthly Collection'!AA49)</f>
        <v/>
      </c>
      <c r="H48" s="419" t="str">
        <f t="shared" si="3"/>
        <v/>
      </c>
    </row>
    <row r="49" spans="2:8" x14ac:dyDescent="0.25">
      <c r="B49" s="785">
        <f>'03 - Monthly Asset Follow up'!B54</f>
        <v>0</v>
      </c>
      <c r="C49" s="417" t="str">
        <f>IF($B49=0,"",'03 - Monthly Asset Follow up'!D54)</f>
        <v/>
      </c>
      <c r="D49" s="418" t="str">
        <f t="shared" si="1"/>
        <v/>
      </c>
      <c r="E49" s="791" t="str">
        <f>IF($B49=0,"",_xlfn.XLOOKUP($B49,INPUT_DATA!$BQ:$BQ,INPUT_DATA!BZ:BZ))</f>
        <v/>
      </c>
      <c r="F49" s="418" t="str">
        <f t="shared" si="2"/>
        <v/>
      </c>
      <c r="G49" s="417" t="str">
        <f>IF($B49=0,"",'04 - Monthly Collection'!AA50)</f>
        <v/>
      </c>
      <c r="H49" s="419" t="str">
        <f t="shared" si="3"/>
        <v/>
      </c>
    </row>
    <row r="50" spans="2:8" x14ac:dyDescent="0.25">
      <c r="B50" s="785">
        <f>'03 - Monthly Asset Follow up'!B55</f>
        <v>0</v>
      </c>
      <c r="C50" s="417" t="str">
        <f>IF($B50=0,"",'03 - Monthly Asset Follow up'!D55)</f>
        <v/>
      </c>
      <c r="D50" s="418" t="str">
        <f t="shared" si="1"/>
        <v/>
      </c>
      <c r="E50" s="791" t="str">
        <f>IF($B50=0,"",_xlfn.XLOOKUP($B50,INPUT_DATA!$BQ:$BQ,INPUT_DATA!BZ:BZ))</f>
        <v/>
      </c>
      <c r="F50" s="418" t="str">
        <f t="shared" si="2"/>
        <v/>
      </c>
      <c r="G50" s="417" t="str">
        <f>IF($B50=0,"",'04 - Monthly Collection'!AA51)</f>
        <v/>
      </c>
      <c r="H50" s="419" t="str">
        <f t="shared" si="3"/>
        <v/>
      </c>
    </row>
    <row r="51" spans="2:8" x14ac:dyDescent="0.25">
      <c r="B51" s="785">
        <f>'03 - Monthly Asset Follow up'!B56</f>
        <v>0</v>
      </c>
      <c r="C51" s="417" t="str">
        <f>IF($B51=0,"",'03 - Monthly Asset Follow up'!D56)</f>
        <v/>
      </c>
      <c r="D51" s="418" t="str">
        <f t="shared" si="1"/>
        <v/>
      </c>
      <c r="E51" s="791" t="str">
        <f>IF($B51=0,"",_xlfn.XLOOKUP($B51,INPUT_DATA!$BQ:$BQ,INPUT_DATA!BZ:BZ))</f>
        <v/>
      </c>
      <c r="F51" s="418" t="str">
        <f t="shared" si="2"/>
        <v/>
      </c>
      <c r="G51" s="417" t="str">
        <f>IF($B51=0,"",'04 - Monthly Collection'!AA52)</f>
        <v/>
      </c>
      <c r="H51" s="419" t="str">
        <f t="shared" si="3"/>
        <v/>
      </c>
    </row>
    <row r="52" spans="2:8" x14ac:dyDescent="0.25">
      <c r="B52" s="785">
        <f>'03 - Monthly Asset Follow up'!B57</f>
        <v>0</v>
      </c>
      <c r="C52" s="417" t="str">
        <f>IF($B52=0,"",'03 - Monthly Asset Follow up'!D57)</f>
        <v/>
      </c>
      <c r="D52" s="418" t="str">
        <f t="shared" si="1"/>
        <v/>
      </c>
      <c r="E52" s="791" t="str">
        <f>IF($B52=0,"",_xlfn.XLOOKUP($B52,INPUT_DATA!$BQ:$BQ,INPUT_DATA!BZ:BZ))</f>
        <v/>
      </c>
      <c r="F52" s="418" t="str">
        <f t="shared" si="2"/>
        <v/>
      </c>
      <c r="G52" s="417" t="str">
        <f>IF($B52=0,"",'04 - Monthly Collection'!AA53)</f>
        <v/>
      </c>
      <c r="H52" s="419" t="str">
        <f t="shared" si="3"/>
        <v/>
      </c>
    </row>
    <row r="53" spans="2:8" x14ac:dyDescent="0.25">
      <c r="B53" s="785">
        <f>'03 - Monthly Asset Follow up'!B58</f>
        <v>0</v>
      </c>
      <c r="C53" s="417" t="str">
        <f>IF($B53=0,"",'03 - Monthly Asset Follow up'!D58)</f>
        <v/>
      </c>
      <c r="D53" s="418" t="str">
        <f t="shared" si="1"/>
        <v/>
      </c>
      <c r="E53" s="791" t="str">
        <f>IF($B53=0,"",_xlfn.XLOOKUP($B53,INPUT_DATA!$BQ:$BQ,INPUT_DATA!BZ:BZ))</f>
        <v/>
      </c>
      <c r="F53" s="418" t="str">
        <f t="shared" si="2"/>
        <v/>
      </c>
      <c r="G53" s="417" t="str">
        <f>IF($B53=0,"",'04 - Monthly Collection'!AA54)</f>
        <v/>
      </c>
      <c r="H53" s="419" t="str">
        <f t="shared" si="3"/>
        <v/>
      </c>
    </row>
    <row r="54" spans="2:8" x14ac:dyDescent="0.25">
      <c r="B54" s="785">
        <f>'03 - Monthly Asset Follow up'!B59</f>
        <v>0</v>
      </c>
      <c r="C54" s="417" t="str">
        <f>IF($B54=0,"",'03 - Monthly Asset Follow up'!D59)</f>
        <v/>
      </c>
      <c r="D54" s="418" t="str">
        <f t="shared" si="1"/>
        <v/>
      </c>
      <c r="E54" s="791" t="str">
        <f>IF($B54=0,"",_xlfn.XLOOKUP($B54,INPUT_DATA!$BQ:$BQ,INPUT_DATA!BZ:BZ))</f>
        <v/>
      </c>
      <c r="F54" s="418" t="str">
        <f t="shared" si="2"/>
        <v/>
      </c>
      <c r="G54" s="417" t="str">
        <f>IF($B54=0,"",'04 - Monthly Collection'!AA55)</f>
        <v/>
      </c>
      <c r="H54" s="419" t="str">
        <f t="shared" si="3"/>
        <v/>
      </c>
    </row>
    <row r="55" spans="2:8" x14ac:dyDescent="0.25">
      <c r="B55" s="785">
        <f>'03 - Monthly Asset Follow up'!B60</f>
        <v>0</v>
      </c>
      <c r="C55" s="417" t="str">
        <f>IF($B55=0,"",'03 - Monthly Asset Follow up'!D60)</f>
        <v/>
      </c>
      <c r="D55" s="418" t="str">
        <f t="shared" si="1"/>
        <v/>
      </c>
      <c r="E55" s="791" t="str">
        <f>IF($B55=0,"",_xlfn.XLOOKUP($B55,INPUT_DATA!$BQ:$BQ,INPUT_DATA!BZ:BZ))</f>
        <v/>
      </c>
      <c r="F55" s="418" t="str">
        <f t="shared" si="2"/>
        <v/>
      </c>
      <c r="G55" s="417" t="str">
        <f>IF($B55=0,"",'04 - Monthly Collection'!AA56)</f>
        <v/>
      </c>
      <c r="H55" s="419" t="str">
        <f t="shared" si="3"/>
        <v/>
      </c>
    </row>
    <row r="56" spans="2:8" x14ac:dyDescent="0.25">
      <c r="B56" s="785">
        <f>'03 - Monthly Asset Follow up'!B61</f>
        <v>0</v>
      </c>
      <c r="C56" s="417" t="str">
        <f>IF($B56=0,"",'03 - Monthly Asset Follow up'!D61)</f>
        <v/>
      </c>
      <c r="D56" s="418" t="str">
        <f t="shared" si="1"/>
        <v/>
      </c>
      <c r="E56" s="791" t="str">
        <f>IF($B56=0,"",_xlfn.XLOOKUP($B56,INPUT_DATA!$BQ:$BQ,INPUT_DATA!BZ:BZ))</f>
        <v/>
      </c>
      <c r="F56" s="418" t="str">
        <f t="shared" si="2"/>
        <v/>
      </c>
      <c r="G56" s="417" t="str">
        <f>IF($B56=0,"",'04 - Monthly Collection'!AA57)</f>
        <v/>
      </c>
      <c r="H56" s="419" t="str">
        <f t="shared" si="3"/>
        <v/>
      </c>
    </row>
    <row r="57" spans="2:8" x14ac:dyDescent="0.25">
      <c r="B57" s="785">
        <f>'03 - Monthly Asset Follow up'!B62</f>
        <v>0</v>
      </c>
      <c r="C57" s="417" t="str">
        <f>IF($B57=0,"",'03 - Monthly Asset Follow up'!D62)</f>
        <v/>
      </c>
      <c r="D57" s="418" t="str">
        <f t="shared" si="1"/>
        <v/>
      </c>
      <c r="E57" s="791" t="str">
        <f>IF($B57=0,"",_xlfn.XLOOKUP($B57,INPUT_DATA!$BQ:$BQ,INPUT_DATA!BZ:BZ))</f>
        <v/>
      </c>
      <c r="F57" s="418" t="str">
        <f t="shared" si="2"/>
        <v/>
      </c>
      <c r="G57" s="417" t="str">
        <f>IF($B57=0,"",'04 - Monthly Collection'!AA58)</f>
        <v/>
      </c>
      <c r="H57" s="419" t="str">
        <f t="shared" si="3"/>
        <v/>
      </c>
    </row>
    <row r="58" spans="2:8" x14ac:dyDescent="0.25">
      <c r="B58" s="785">
        <f>'03 - Monthly Asset Follow up'!B63</f>
        <v>0</v>
      </c>
      <c r="C58" s="417" t="str">
        <f>IF($B58=0,"",'03 - Monthly Asset Follow up'!D63)</f>
        <v/>
      </c>
      <c r="D58" s="418" t="str">
        <f t="shared" si="1"/>
        <v/>
      </c>
      <c r="E58" s="791" t="str">
        <f>IF($B58=0,"",_xlfn.XLOOKUP($B58,INPUT_DATA!$BQ:$BQ,INPUT_DATA!BZ:BZ))</f>
        <v/>
      </c>
      <c r="F58" s="418" t="str">
        <f t="shared" si="2"/>
        <v/>
      </c>
      <c r="G58" s="417" t="str">
        <f>IF($B58=0,"",'04 - Monthly Collection'!AA59)</f>
        <v/>
      </c>
      <c r="H58" s="419" t="str">
        <f t="shared" si="3"/>
        <v/>
      </c>
    </row>
    <row r="59" spans="2:8" x14ac:dyDescent="0.25">
      <c r="B59" s="785">
        <f>'03 - Monthly Asset Follow up'!B64</f>
        <v>0</v>
      </c>
      <c r="C59" s="417" t="str">
        <f>IF($B59=0,"",'03 - Monthly Asset Follow up'!D64)</f>
        <v/>
      </c>
      <c r="D59" s="418" t="str">
        <f t="shared" si="1"/>
        <v/>
      </c>
      <c r="E59" s="791" t="str">
        <f>IF($B59=0,"",_xlfn.XLOOKUP($B59,INPUT_DATA!$BQ:$BQ,INPUT_DATA!BZ:BZ))</f>
        <v/>
      </c>
      <c r="F59" s="418" t="str">
        <f t="shared" si="2"/>
        <v/>
      </c>
      <c r="G59" s="417" t="str">
        <f>IF($B59=0,"",'04 - Monthly Collection'!AA60)</f>
        <v/>
      </c>
      <c r="H59" s="419" t="str">
        <f t="shared" si="3"/>
        <v/>
      </c>
    </row>
    <row r="60" spans="2:8" x14ac:dyDescent="0.25">
      <c r="B60" s="785">
        <f>'03 - Monthly Asset Follow up'!B65</f>
        <v>0</v>
      </c>
      <c r="C60" s="417" t="str">
        <f>IF($B60=0,"",'03 - Monthly Asset Follow up'!D65)</f>
        <v/>
      </c>
      <c r="D60" s="418" t="str">
        <f t="shared" si="1"/>
        <v/>
      </c>
      <c r="E60" s="791" t="str">
        <f>IF($B60=0,"",_xlfn.XLOOKUP($B60,INPUT_DATA!$BQ:$BQ,INPUT_DATA!BZ:BZ))</f>
        <v/>
      </c>
      <c r="F60" s="418" t="str">
        <f t="shared" si="2"/>
        <v/>
      </c>
      <c r="G60" s="417" t="str">
        <f>IF($B60=0,"",'04 - Monthly Collection'!AA61)</f>
        <v/>
      </c>
      <c r="H60" s="419" t="str">
        <f t="shared" si="3"/>
        <v/>
      </c>
    </row>
    <row r="61" spans="2:8" x14ac:dyDescent="0.25">
      <c r="B61" s="785">
        <f>'03 - Monthly Asset Follow up'!B66</f>
        <v>0</v>
      </c>
      <c r="C61" s="417" t="str">
        <f>IF($B61=0,"",'03 - Monthly Asset Follow up'!D66)</f>
        <v/>
      </c>
      <c r="D61" s="418" t="str">
        <f t="shared" si="1"/>
        <v/>
      </c>
      <c r="E61" s="791" t="str">
        <f>IF($B61=0,"",_xlfn.XLOOKUP($B61,INPUT_DATA!$BQ:$BQ,INPUT_DATA!BZ:BZ))</f>
        <v/>
      </c>
      <c r="F61" s="418" t="str">
        <f t="shared" si="2"/>
        <v/>
      </c>
      <c r="G61" s="417" t="str">
        <f>IF($B61=0,"",'04 - Monthly Collection'!AA62)</f>
        <v/>
      </c>
      <c r="H61" s="419" t="str">
        <f t="shared" si="3"/>
        <v/>
      </c>
    </row>
    <row r="62" spans="2:8" x14ac:dyDescent="0.25">
      <c r="B62" s="785">
        <f>'03 - Monthly Asset Follow up'!B67</f>
        <v>0</v>
      </c>
      <c r="C62" s="417" t="str">
        <f>IF($B62=0,"",'03 - Monthly Asset Follow up'!D67)</f>
        <v/>
      </c>
      <c r="D62" s="418" t="str">
        <f t="shared" si="1"/>
        <v/>
      </c>
      <c r="E62" s="791" t="str">
        <f>IF($B62=0,"",_xlfn.XLOOKUP($B62,INPUT_DATA!$BQ:$BQ,INPUT_DATA!BZ:BZ))</f>
        <v/>
      </c>
      <c r="F62" s="418" t="str">
        <f t="shared" si="2"/>
        <v/>
      </c>
      <c r="G62" s="417" t="str">
        <f>IF($B62=0,"",'04 - Monthly Collection'!AA63)</f>
        <v/>
      </c>
      <c r="H62" s="419" t="str">
        <f t="shared" si="3"/>
        <v/>
      </c>
    </row>
    <row r="63" spans="2:8" x14ac:dyDescent="0.25">
      <c r="B63" s="785">
        <f>'03 - Monthly Asset Follow up'!B68</f>
        <v>0</v>
      </c>
      <c r="C63" s="417" t="str">
        <f>IF($B63=0,"",'03 - Monthly Asset Follow up'!D68)</f>
        <v/>
      </c>
      <c r="D63" s="418" t="str">
        <f t="shared" si="1"/>
        <v/>
      </c>
      <c r="E63" s="791" t="str">
        <f>IF($B63=0,"",_xlfn.XLOOKUP($B63,INPUT_DATA!$BQ:$BQ,INPUT_DATA!BZ:BZ))</f>
        <v/>
      </c>
      <c r="F63" s="418" t="str">
        <f t="shared" si="2"/>
        <v/>
      </c>
      <c r="G63" s="417" t="str">
        <f>IF($B63=0,"",'04 - Monthly Collection'!AA64)</f>
        <v/>
      </c>
      <c r="H63" s="419" t="str">
        <f t="shared" si="3"/>
        <v/>
      </c>
    </row>
    <row r="64" spans="2:8" x14ac:dyDescent="0.25">
      <c r="B64" s="785">
        <f>'03 - Monthly Asset Follow up'!B69</f>
        <v>0</v>
      </c>
      <c r="C64" s="417" t="str">
        <f>IF($B64=0,"",'03 - Monthly Asset Follow up'!D69)</f>
        <v/>
      </c>
      <c r="D64" s="418" t="str">
        <f t="shared" si="1"/>
        <v/>
      </c>
      <c r="E64" s="791" t="str">
        <f>IF($B64=0,"",_xlfn.XLOOKUP($B64,INPUT_DATA!$BQ:$BQ,INPUT_DATA!BZ:BZ))</f>
        <v/>
      </c>
      <c r="F64" s="418" t="str">
        <f t="shared" si="2"/>
        <v/>
      </c>
      <c r="G64" s="417" t="str">
        <f>IF($B64=0,"",'04 - Monthly Collection'!AA65)</f>
        <v/>
      </c>
      <c r="H64" s="419" t="str">
        <f t="shared" si="3"/>
        <v/>
      </c>
    </row>
    <row r="65" spans="2:8" x14ac:dyDescent="0.25">
      <c r="B65" s="785">
        <f>'03 - Monthly Asset Follow up'!B70</f>
        <v>0</v>
      </c>
      <c r="C65" s="417" t="str">
        <f>IF($B65=0,"",'03 - Monthly Asset Follow up'!D70)</f>
        <v/>
      </c>
      <c r="D65" s="418" t="str">
        <f t="shared" si="1"/>
        <v/>
      </c>
      <c r="E65" s="791" t="str">
        <f>IF($B65=0,"",_xlfn.XLOOKUP($B65,INPUT_DATA!$BQ:$BQ,INPUT_DATA!BZ:BZ))</f>
        <v/>
      </c>
      <c r="F65" s="418" t="str">
        <f t="shared" si="2"/>
        <v/>
      </c>
      <c r="G65" s="417" t="str">
        <f>IF($B65=0,"",'04 - Monthly Collection'!AA66)</f>
        <v/>
      </c>
      <c r="H65" s="419" t="str">
        <f t="shared" si="3"/>
        <v/>
      </c>
    </row>
    <row r="66" spans="2:8" x14ac:dyDescent="0.25">
      <c r="B66" s="785">
        <f>'03 - Monthly Asset Follow up'!B71</f>
        <v>0</v>
      </c>
      <c r="C66" s="417" t="str">
        <f>IF($B66=0,"",'03 - Monthly Asset Follow up'!D71)</f>
        <v/>
      </c>
      <c r="D66" s="418" t="str">
        <f t="shared" si="1"/>
        <v/>
      </c>
      <c r="E66" s="791" t="str">
        <f>IF($B66=0,"",_xlfn.XLOOKUP($B66,INPUT_DATA!$BQ:$BQ,INPUT_DATA!BZ:BZ))</f>
        <v/>
      </c>
      <c r="F66" s="418" t="str">
        <f t="shared" si="2"/>
        <v/>
      </c>
      <c r="G66" s="417" t="str">
        <f>IF($B66=0,"",'04 - Monthly Collection'!AA67)</f>
        <v/>
      </c>
      <c r="H66" s="419" t="str">
        <f t="shared" si="3"/>
        <v/>
      </c>
    </row>
    <row r="67" spans="2:8" x14ac:dyDescent="0.25">
      <c r="B67" s="785">
        <f>'03 - Monthly Asset Follow up'!B72</f>
        <v>0</v>
      </c>
      <c r="C67" s="417" t="str">
        <f>IF($B67=0,"",'03 - Monthly Asset Follow up'!D72)</f>
        <v/>
      </c>
      <c r="D67" s="418" t="str">
        <f t="shared" si="1"/>
        <v/>
      </c>
      <c r="E67" s="791" t="str">
        <f>IF($B67=0,"",_xlfn.XLOOKUP($B67,INPUT_DATA!$BQ:$BQ,INPUT_DATA!BZ:BZ))</f>
        <v/>
      </c>
      <c r="F67" s="418" t="str">
        <f t="shared" si="2"/>
        <v/>
      </c>
      <c r="G67" s="417" t="str">
        <f>IF($B67=0,"",'04 - Monthly Collection'!AA68)</f>
        <v/>
      </c>
      <c r="H67" s="419" t="str">
        <f t="shared" si="3"/>
        <v/>
      </c>
    </row>
    <row r="68" spans="2:8" x14ac:dyDescent="0.25">
      <c r="B68" s="785">
        <f>'03 - Monthly Asset Follow up'!B73</f>
        <v>0</v>
      </c>
      <c r="C68" s="417" t="str">
        <f>IF($B68=0,"",'03 - Monthly Asset Follow up'!D73)</f>
        <v/>
      </c>
      <c r="D68" s="418" t="str">
        <f t="shared" si="1"/>
        <v/>
      </c>
      <c r="E68" s="791" t="str">
        <f>IF($B68=0,"",_xlfn.XLOOKUP($B68,INPUT_DATA!$BQ:$BQ,INPUT_DATA!BZ:BZ))</f>
        <v/>
      </c>
      <c r="F68" s="418" t="str">
        <f t="shared" si="2"/>
        <v/>
      </c>
      <c r="G68" s="417" t="str">
        <f>IF($B68=0,"",'04 - Monthly Collection'!AA69)</f>
        <v/>
      </c>
      <c r="H68" s="419" t="str">
        <f t="shared" si="3"/>
        <v/>
      </c>
    </row>
    <row r="69" spans="2:8" x14ac:dyDescent="0.25">
      <c r="B69" s="785">
        <f>'03 - Monthly Asset Follow up'!B74</f>
        <v>0</v>
      </c>
      <c r="C69" s="417" t="str">
        <f>IF($B69=0,"",'03 - Monthly Asset Follow up'!D74)</f>
        <v/>
      </c>
      <c r="D69" s="418" t="str">
        <f t="shared" si="1"/>
        <v/>
      </c>
      <c r="E69" s="791" t="str">
        <f>IF($B69=0,"",_xlfn.XLOOKUP($B69,INPUT_DATA!$BQ:$BQ,INPUT_DATA!BZ:BZ))</f>
        <v/>
      </c>
      <c r="F69" s="418" t="str">
        <f t="shared" si="2"/>
        <v/>
      </c>
      <c r="G69" s="417" t="str">
        <f>IF($B69=0,"",'04 - Monthly Collection'!AA70)</f>
        <v/>
      </c>
      <c r="H69" s="419" t="str">
        <f t="shared" si="3"/>
        <v/>
      </c>
    </row>
    <row r="70" spans="2:8" x14ac:dyDescent="0.25">
      <c r="B70" s="785">
        <f>'03 - Monthly Asset Follow up'!B75</f>
        <v>0</v>
      </c>
      <c r="C70" s="417" t="str">
        <f>IF($B70=0,"",'03 - Monthly Asset Follow up'!D75)</f>
        <v/>
      </c>
      <c r="D70" s="418" t="str">
        <f t="shared" si="1"/>
        <v/>
      </c>
      <c r="E70" s="791" t="str">
        <f>IF($B70=0,"",_xlfn.XLOOKUP($B70,INPUT_DATA!$BQ:$BQ,INPUT_DATA!BZ:BZ))</f>
        <v/>
      </c>
      <c r="F70" s="418" t="str">
        <f t="shared" si="2"/>
        <v/>
      </c>
      <c r="G70" s="417" t="str">
        <f>IF($B70=0,"",'04 - Monthly Collection'!AA71)</f>
        <v/>
      </c>
      <c r="H70" s="419" t="str">
        <f t="shared" si="3"/>
        <v/>
      </c>
    </row>
    <row r="71" spans="2:8" x14ac:dyDescent="0.25">
      <c r="B71" s="785">
        <f>'03 - Monthly Asset Follow up'!B76</f>
        <v>0</v>
      </c>
      <c r="C71" s="417" t="str">
        <f>IF($B71=0,"",'03 - Monthly Asset Follow up'!D76)</f>
        <v/>
      </c>
      <c r="D71" s="418" t="str">
        <f t="shared" si="1"/>
        <v/>
      </c>
      <c r="E71" s="791" t="str">
        <f>IF($B71=0,"",_xlfn.XLOOKUP($B71,INPUT_DATA!$BQ:$BQ,INPUT_DATA!BZ:BZ))</f>
        <v/>
      </c>
      <c r="F71" s="418" t="str">
        <f t="shared" si="2"/>
        <v/>
      </c>
      <c r="G71" s="417" t="str">
        <f>IF($B71=0,"",'04 - Monthly Collection'!AA72)</f>
        <v/>
      </c>
      <c r="H71" s="419" t="str">
        <f t="shared" si="3"/>
        <v/>
      </c>
    </row>
    <row r="72" spans="2:8" x14ac:dyDescent="0.25">
      <c r="B72" s="785">
        <f>'03 - Monthly Asset Follow up'!B77</f>
        <v>0</v>
      </c>
      <c r="C72" s="417" t="str">
        <f>IF($B72=0,"",'03 - Monthly Asset Follow up'!D77)</f>
        <v/>
      </c>
      <c r="D72" s="418" t="str">
        <f t="shared" si="1"/>
        <v/>
      </c>
      <c r="E72" s="791" t="str">
        <f>IF($B72=0,"",_xlfn.XLOOKUP($B72,INPUT_DATA!$BQ:$BQ,INPUT_DATA!BZ:BZ))</f>
        <v/>
      </c>
      <c r="F72" s="418" t="str">
        <f t="shared" si="2"/>
        <v/>
      </c>
      <c r="G72" s="417" t="str">
        <f>IF($B72=0,"",'04 - Monthly Collection'!AA73)</f>
        <v/>
      </c>
      <c r="H72" s="419" t="str">
        <f t="shared" si="3"/>
        <v/>
      </c>
    </row>
  </sheetData>
  <conditionalFormatting sqref="B12:B72">
    <cfRule type="cellIs" dxfId="46" priority="1" operator="lessThanOrEqual">
      <formula>0</formula>
    </cfRule>
  </conditionalFormatting>
  <pageMargins left="0.7" right="0.7" top="0.75" bottom="0.75" header="0.3" footer="0.3"/>
  <pageSetup paperSize="9" scale="35" orientation="portrait" r:id="rId1"/>
  <ignoredErrors>
    <ignoredError sqref="E13:E72 G12:G72"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550-0195-4346-B4B9-6CAED7939DCD}">
  <sheetPr>
    <tabColor theme="0" tint="-0.249977111117893"/>
  </sheetPr>
  <dimension ref="A1:N72"/>
  <sheetViews>
    <sheetView showGridLines="0" zoomScale="80" zoomScaleNormal="80" workbookViewId="0">
      <selection activeCell="L23" sqref="L23"/>
    </sheetView>
  </sheetViews>
  <sheetFormatPr defaultColWidth="10.85546875" defaultRowHeight="15" x14ac:dyDescent="0.25"/>
  <cols>
    <col min="1" max="1" width="4.42578125" style="400" customWidth="1"/>
    <col min="2" max="2" width="23" style="400" customWidth="1"/>
    <col min="3" max="4" width="21.85546875" style="400" customWidth="1"/>
    <col min="5" max="5" width="24.5703125" style="400" customWidth="1"/>
    <col min="6" max="6" width="29.5703125" style="400" customWidth="1"/>
    <col min="7" max="7" width="16.42578125" style="400" customWidth="1"/>
    <col min="8" max="9" width="17" style="400" customWidth="1"/>
    <col min="10" max="11" width="20.42578125" style="400" customWidth="1"/>
    <col min="12" max="12" width="13.42578125" style="400" bestFit="1" customWidth="1"/>
    <col min="13" max="16384" width="10.85546875" style="400"/>
  </cols>
  <sheetData>
    <row r="1" spans="1:14" x14ac:dyDescent="0.25">
      <c r="A1" s="104"/>
      <c r="B1" s="104"/>
      <c r="C1" s="104"/>
      <c r="D1" s="104"/>
      <c r="E1" s="104"/>
      <c r="F1" s="104"/>
      <c r="G1" s="104"/>
      <c r="H1" s="104"/>
      <c r="I1" s="104"/>
      <c r="J1" s="104"/>
      <c r="K1" s="104"/>
      <c r="L1" s="104"/>
    </row>
    <row r="2" spans="1:14" x14ac:dyDescent="0.25">
      <c r="A2" s="104"/>
      <c r="B2" s="106"/>
      <c r="C2" s="106"/>
      <c r="D2" s="106"/>
      <c r="E2" s="106"/>
      <c r="F2" s="106"/>
      <c r="G2" s="106"/>
      <c r="H2" s="106"/>
      <c r="I2" s="106"/>
      <c r="J2" s="106"/>
      <c r="K2" s="106"/>
      <c r="L2" s="106"/>
    </row>
    <row r="3" spans="1:14" ht="14.45" customHeight="1" x14ac:dyDescent="0.25">
      <c r="A3" s="104"/>
      <c r="B3" s="106"/>
      <c r="C3" s="106"/>
      <c r="D3" s="106"/>
      <c r="E3" s="678"/>
      <c r="F3" s="106"/>
      <c r="G3" s="105"/>
      <c r="H3" s="105"/>
      <c r="I3" s="105"/>
      <c r="J3" s="101" t="s">
        <v>655</v>
      </c>
      <c r="K3" s="101">
        <f>'00 - Cover'!F15</f>
        <v>45580</v>
      </c>
      <c r="L3" s="105"/>
    </row>
    <row r="4" spans="1:14" ht="14.45" customHeight="1" x14ac:dyDescent="0.25">
      <c r="A4" s="104"/>
      <c r="B4" s="106"/>
      <c r="C4" s="106"/>
      <c r="D4" s="106"/>
      <c r="E4" s="678"/>
      <c r="F4" s="106"/>
      <c r="G4" s="105"/>
      <c r="H4" s="105"/>
      <c r="I4" s="105"/>
      <c r="J4" s="101" t="s">
        <v>94</v>
      </c>
      <c r="K4" s="101">
        <f>'00 - Cover'!F16</f>
        <v>45583</v>
      </c>
      <c r="L4" s="105"/>
    </row>
    <row r="5" spans="1:14" ht="14.45" customHeight="1" x14ac:dyDescent="0.25">
      <c r="A5" s="104"/>
      <c r="B5" s="106"/>
      <c r="C5" s="106"/>
      <c r="D5" s="106"/>
      <c r="E5" s="678"/>
      <c r="F5" s="106"/>
      <c r="G5" s="105"/>
      <c r="H5" s="105"/>
      <c r="I5" s="105"/>
      <c r="J5" s="101" t="s">
        <v>87</v>
      </c>
      <c r="K5" s="101">
        <f>'00 - Cover'!F17</f>
        <v>45590</v>
      </c>
      <c r="L5" s="105"/>
    </row>
    <row r="6" spans="1:14" ht="14.45" customHeight="1" x14ac:dyDescent="0.25">
      <c r="A6" s="104"/>
      <c r="B6" s="106"/>
      <c r="C6" s="106"/>
      <c r="D6" s="106"/>
      <c r="E6" s="678"/>
      <c r="F6" s="106"/>
      <c r="G6" s="106"/>
      <c r="H6" s="106"/>
      <c r="I6" s="106"/>
      <c r="J6" s="144"/>
      <c r="K6" s="684"/>
      <c r="L6" s="106"/>
    </row>
    <row r="7" spans="1:14" x14ac:dyDescent="0.25">
      <c r="A7" s="104"/>
      <c r="B7" s="106"/>
      <c r="C7" s="106"/>
      <c r="D7" s="106"/>
      <c r="E7" s="106"/>
      <c r="F7" s="106"/>
      <c r="G7" s="106"/>
      <c r="H7" s="106"/>
      <c r="I7" s="106"/>
      <c r="J7" s="106"/>
      <c r="K7" s="106"/>
      <c r="L7" s="106"/>
    </row>
    <row r="8" spans="1:14" x14ac:dyDescent="0.25">
      <c r="A8" s="399"/>
    </row>
    <row r="9" spans="1:14" x14ac:dyDescent="0.25">
      <c r="B9" s="1141" t="s">
        <v>822</v>
      </c>
      <c r="C9" s="1142"/>
      <c r="D9" s="1142"/>
      <c r="E9" s="1142"/>
      <c r="F9" s="1142"/>
      <c r="G9" s="1142"/>
      <c r="H9" s="1142"/>
      <c r="I9" s="1142"/>
      <c r="J9" s="1142"/>
      <c r="K9" s="1142"/>
    </row>
    <row r="10" spans="1:14" ht="15.75" thickBot="1" x14ac:dyDescent="0.3"/>
    <row r="11" spans="1:14" ht="55.5" customHeight="1" thickBot="1" x14ac:dyDescent="0.3">
      <c r="A11" s="416"/>
      <c r="B11" s="704" t="s">
        <v>87</v>
      </c>
      <c r="C11" s="687" t="s">
        <v>827</v>
      </c>
      <c r="D11" s="688" t="s">
        <v>828</v>
      </c>
      <c r="E11" s="689" t="s">
        <v>829</v>
      </c>
      <c r="F11" s="687" t="s">
        <v>823</v>
      </c>
      <c r="G11" s="688" t="s">
        <v>825</v>
      </c>
      <c r="H11" s="689" t="s">
        <v>826</v>
      </c>
      <c r="I11" s="700" t="s">
        <v>831</v>
      </c>
      <c r="J11" s="688" t="s">
        <v>824</v>
      </c>
      <c r="K11" s="689" t="s">
        <v>830</v>
      </c>
    </row>
    <row r="12" spans="1:14" x14ac:dyDescent="0.25">
      <c r="A12" s="416"/>
      <c r="B12" s="690">
        <f>K5</f>
        <v>45590</v>
      </c>
      <c r="C12" s="697">
        <f>'15 - Priority of Payments'!J53+'15 - Priority of Payments'!J50</f>
        <v>3515.46</v>
      </c>
      <c r="D12" s="686">
        <f>'09 - Default &amp; Recovery Stat'!E12</f>
        <v>3515.46</v>
      </c>
      <c r="E12" s="691">
        <f>'15 - Priority of Payments'!K45+'15 - Priority of Payments'!K46+'15 - Priority of Payments'!K47+'15 - Priority of Payments'!K48+'15 - Priority of Payments'!K49</f>
        <v>0</v>
      </c>
      <c r="F12" s="697">
        <f>H13</f>
        <v>0</v>
      </c>
      <c r="G12" s="686">
        <f>'11 - Notes Follow-up'!L24</f>
        <v>67585000</v>
      </c>
      <c r="H12" s="691">
        <f>MIN(F12-C12+D12+E12,G12)</f>
        <v>0</v>
      </c>
      <c r="I12" s="701">
        <f>K13</f>
        <v>0</v>
      </c>
      <c r="J12" s="686">
        <f>'11 - Notes Follow-up'!D24</f>
        <v>633803781.08000004</v>
      </c>
      <c r="K12" s="691">
        <f>IF((F12-C12+D12+E12-G12)&gt;0,MIN((F12-C12+D12+E12+I12-G12),J12),0)</f>
        <v>0</v>
      </c>
      <c r="N12" s="422"/>
    </row>
    <row r="13" spans="1:14" x14ac:dyDescent="0.25">
      <c r="A13" s="416"/>
      <c r="B13" s="692">
        <v>45498</v>
      </c>
      <c r="C13" s="698">
        <v>0</v>
      </c>
      <c r="D13" s="685">
        <v>0</v>
      </c>
      <c r="E13" s="693">
        <v>0</v>
      </c>
      <c r="F13" s="698">
        <v>0</v>
      </c>
      <c r="G13" s="685">
        <v>67585000</v>
      </c>
      <c r="H13" s="693">
        <v>0</v>
      </c>
      <c r="I13" s="702">
        <v>0</v>
      </c>
      <c r="J13" s="685">
        <v>650283436.13999999</v>
      </c>
      <c r="K13" s="693">
        <v>0</v>
      </c>
    </row>
    <row r="14" spans="1:14" x14ac:dyDescent="0.25">
      <c r="A14" s="416"/>
      <c r="B14" s="692">
        <v>45407</v>
      </c>
      <c r="C14" s="698">
        <v>0</v>
      </c>
      <c r="D14" s="685">
        <v>0</v>
      </c>
      <c r="E14" s="693">
        <v>0</v>
      </c>
      <c r="F14" s="698">
        <v>0</v>
      </c>
      <c r="G14" s="685">
        <v>67585000</v>
      </c>
      <c r="H14" s="693">
        <v>0</v>
      </c>
      <c r="I14" s="702">
        <v>0</v>
      </c>
      <c r="J14" s="685">
        <v>683500000</v>
      </c>
      <c r="K14" s="693">
        <v>0</v>
      </c>
      <c r="M14" s="422"/>
    </row>
    <row r="15" spans="1:14" x14ac:dyDescent="0.25">
      <c r="B15" s="692"/>
      <c r="C15" s="698"/>
      <c r="D15" s="685"/>
      <c r="E15" s="693"/>
      <c r="F15" s="698"/>
      <c r="G15" s="685"/>
      <c r="H15" s="693"/>
      <c r="I15" s="702"/>
      <c r="J15" s="685"/>
      <c r="K15" s="693"/>
    </row>
    <row r="16" spans="1:14" x14ac:dyDescent="0.25">
      <c r="B16" s="692"/>
      <c r="C16" s="698"/>
      <c r="D16" s="685"/>
      <c r="E16" s="693"/>
      <c r="F16" s="698"/>
      <c r="G16" s="685"/>
      <c r="H16" s="693"/>
      <c r="I16" s="702"/>
      <c r="J16" s="685"/>
      <c r="K16" s="693"/>
    </row>
    <row r="17" spans="2:11" x14ac:dyDescent="0.25">
      <c r="B17" s="692"/>
      <c r="C17" s="698"/>
      <c r="D17" s="685"/>
      <c r="E17" s="693"/>
      <c r="F17" s="698"/>
      <c r="G17" s="685"/>
      <c r="H17" s="693"/>
      <c r="I17" s="702"/>
      <c r="J17" s="685"/>
      <c r="K17" s="693"/>
    </row>
    <row r="18" spans="2:11" x14ac:dyDescent="0.25">
      <c r="B18" s="692"/>
      <c r="C18" s="698"/>
      <c r="D18" s="685"/>
      <c r="E18" s="693"/>
      <c r="F18" s="698"/>
      <c r="G18" s="685"/>
      <c r="H18" s="693"/>
      <c r="I18" s="702"/>
      <c r="J18" s="685"/>
      <c r="K18" s="693"/>
    </row>
    <row r="19" spans="2:11" x14ac:dyDescent="0.25">
      <c r="B19" s="692"/>
      <c r="C19" s="698"/>
      <c r="D19" s="685"/>
      <c r="E19" s="693"/>
      <c r="F19" s="698"/>
      <c r="G19" s="685"/>
      <c r="H19" s="693"/>
      <c r="I19" s="702"/>
      <c r="J19" s="685"/>
      <c r="K19" s="693"/>
    </row>
    <row r="20" spans="2:11" x14ac:dyDescent="0.25">
      <c r="B20" s="692"/>
      <c r="C20" s="698"/>
      <c r="D20" s="685"/>
      <c r="E20" s="693"/>
      <c r="F20" s="698"/>
      <c r="G20" s="685"/>
      <c r="H20" s="693"/>
      <c r="I20" s="702"/>
      <c r="J20" s="685"/>
      <c r="K20" s="693"/>
    </row>
    <row r="21" spans="2:11" x14ac:dyDescent="0.25">
      <c r="B21" s="692"/>
      <c r="C21" s="698"/>
      <c r="D21" s="685"/>
      <c r="E21" s="693"/>
      <c r="F21" s="698"/>
      <c r="G21" s="685"/>
      <c r="H21" s="693"/>
      <c r="I21" s="702"/>
      <c r="J21" s="685"/>
      <c r="K21" s="693"/>
    </row>
    <row r="22" spans="2:11" x14ac:dyDescent="0.25">
      <c r="B22" s="692"/>
      <c r="C22" s="698"/>
      <c r="D22" s="685"/>
      <c r="E22" s="693"/>
      <c r="F22" s="698"/>
      <c r="G22" s="685"/>
      <c r="H22" s="693"/>
      <c r="I22" s="702"/>
      <c r="J22" s="685"/>
      <c r="K22" s="693"/>
    </row>
    <row r="23" spans="2:11" x14ac:dyDescent="0.25">
      <c r="B23" s="692"/>
      <c r="C23" s="698"/>
      <c r="D23" s="685"/>
      <c r="E23" s="693"/>
      <c r="F23" s="698"/>
      <c r="G23" s="685"/>
      <c r="H23" s="693"/>
      <c r="I23" s="702"/>
      <c r="J23" s="685"/>
      <c r="K23" s="693"/>
    </row>
    <row r="24" spans="2:11" x14ac:dyDescent="0.25">
      <c r="B24" s="692"/>
      <c r="C24" s="698"/>
      <c r="D24" s="685"/>
      <c r="E24" s="693"/>
      <c r="F24" s="698"/>
      <c r="G24" s="685"/>
      <c r="H24" s="693"/>
      <c r="I24" s="702"/>
      <c r="J24" s="685"/>
      <c r="K24" s="693"/>
    </row>
    <row r="25" spans="2:11" x14ac:dyDescent="0.25">
      <c r="B25" s="692"/>
      <c r="C25" s="698"/>
      <c r="D25" s="685"/>
      <c r="E25" s="693"/>
      <c r="F25" s="698"/>
      <c r="G25" s="685"/>
      <c r="H25" s="693"/>
      <c r="I25" s="702"/>
      <c r="J25" s="685"/>
      <c r="K25" s="693"/>
    </row>
    <row r="26" spans="2:11" x14ac:dyDescent="0.25">
      <c r="B26" s="692"/>
      <c r="C26" s="698"/>
      <c r="D26" s="685"/>
      <c r="E26" s="693"/>
      <c r="F26" s="698"/>
      <c r="G26" s="685"/>
      <c r="H26" s="693"/>
      <c r="I26" s="702"/>
      <c r="J26" s="685"/>
      <c r="K26" s="693"/>
    </row>
    <row r="27" spans="2:11" x14ac:dyDescent="0.25">
      <c r="B27" s="692"/>
      <c r="C27" s="698"/>
      <c r="D27" s="685"/>
      <c r="E27" s="693"/>
      <c r="F27" s="698"/>
      <c r="G27" s="685"/>
      <c r="H27" s="693"/>
      <c r="I27" s="702"/>
      <c r="J27" s="685"/>
      <c r="K27" s="693"/>
    </row>
    <row r="28" spans="2:11" x14ac:dyDescent="0.25">
      <c r="B28" s="692"/>
      <c r="C28" s="698"/>
      <c r="D28" s="685"/>
      <c r="E28" s="693"/>
      <c r="F28" s="698"/>
      <c r="G28" s="685"/>
      <c r="H28" s="693"/>
      <c r="I28" s="702"/>
      <c r="J28" s="685"/>
      <c r="K28" s="693"/>
    </row>
    <row r="29" spans="2:11" x14ac:dyDescent="0.25">
      <c r="B29" s="692"/>
      <c r="C29" s="698"/>
      <c r="D29" s="685"/>
      <c r="E29" s="693"/>
      <c r="F29" s="698"/>
      <c r="G29" s="685"/>
      <c r="H29" s="693"/>
      <c r="I29" s="702"/>
      <c r="J29" s="685"/>
      <c r="K29" s="693"/>
    </row>
    <row r="30" spans="2:11" x14ac:dyDescent="0.25">
      <c r="B30" s="692"/>
      <c r="C30" s="698"/>
      <c r="D30" s="685"/>
      <c r="E30" s="693"/>
      <c r="F30" s="698"/>
      <c r="G30" s="685"/>
      <c r="H30" s="693"/>
      <c r="I30" s="702"/>
      <c r="J30" s="685"/>
      <c r="K30" s="693"/>
    </row>
    <row r="31" spans="2:11" x14ac:dyDescent="0.25">
      <c r="B31" s="692"/>
      <c r="C31" s="698"/>
      <c r="D31" s="685"/>
      <c r="E31" s="693"/>
      <c r="F31" s="698"/>
      <c r="G31" s="685"/>
      <c r="H31" s="693"/>
      <c r="I31" s="702"/>
      <c r="J31" s="685"/>
      <c r="K31" s="693"/>
    </row>
    <row r="32" spans="2:11" x14ac:dyDescent="0.25">
      <c r="B32" s="692"/>
      <c r="C32" s="698"/>
      <c r="D32" s="685"/>
      <c r="E32" s="693"/>
      <c r="F32" s="698"/>
      <c r="G32" s="685"/>
      <c r="H32" s="693"/>
      <c r="I32" s="702"/>
      <c r="J32" s="685"/>
      <c r="K32" s="693"/>
    </row>
    <row r="33" spans="2:12" x14ac:dyDescent="0.25">
      <c r="B33" s="692"/>
      <c r="C33" s="698"/>
      <c r="D33" s="685"/>
      <c r="E33" s="693"/>
      <c r="F33" s="698"/>
      <c r="G33" s="685"/>
      <c r="H33" s="693"/>
      <c r="I33" s="702"/>
      <c r="J33" s="685"/>
      <c r="K33" s="693"/>
      <c r="L33" s="422"/>
    </row>
    <row r="34" spans="2:12" x14ac:dyDescent="0.25">
      <c r="B34" s="692"/>
      <c r="C34" s="698"/>
      <c r="D34" s="685"/>
      <c r="E34" s="693"/>
      <c r="F34" s="698"/>
      <c r="G34" s="685"/>
      <c r="H34" s="693"/>
      <c r="I34" s="702"/>
      <c r="J34" s="685"/>
      <c r="K34" s="693"/>
    </row>
    <row r="35" spans="2:12" x14ac:dyDescent="0.25">
      <c r="B35" s="692"/>
      <c r="C35" s="698"/>
      <c r="D35" s="685"/>
      <c r="E35" s="693"/>
      <c r="F35" s="698"/>
      <c r="G35" s="685"/>
      <c r="H35" s="693"/>
      <c r="I35" s="702"/>
      <c r="J35" s="685"/>
      <c r="K35" s="693"/>
    </row>
    <row r="36" spans="2:12" x14ac:dyDescent="0.25">
      <c r="B36" s="692"/>
      <c r="C36" s="698"/>
      <c r="D36" s="685"/>
      <c r="E36" s="693"/>
      <c r="F36" s="698"/>
      <c r="G36" s="685"/>
      <c r="H36" s="693"/>
      <c r="I36" s="702"/>
      <c r="J36" s="685"/>
      <c r="K36" s="693"/>
    </row>
    <row r="37" spans="2:12" x14ac:dyDescent="0.25">
      <c r="B37" s="692"/>
      <c r="C37" s="698"/>
      <c r="D37" s="685"/>
      <c r="E37" s="693"/>
      <c r="F37" s="698"/>
      <c r="G37" s="685"/>
      <c r="H37" s="693"/>
      <c r="I37" s="702"/>
      <c r="J37" s="685"/>
      <c r="K37" s="693"/>
    </row>
    <row r="38" spans="2:12" x14ac:dyDescent="0.25">
      <c r="B38" s="692"/>
      <c r="C38" s="698"/>
      <c r="D38" s="685"/>
      <c r="E38" s="693"/>
      <c r="F38" s="698"/>
      <c r="G38" s="685"/>
      <c r="H38" s="693"/>
      <c r="I38" s="702"/>
      <c r="J38" s="685"/>
      <c r="K38" s="693"/>
    </row>
    <row r="39" spans="2:12" x14ac:dyDescent="0.25">
      <c r="B39" s="692"/>
      <c r="C39" s="698"/>
      <c r="D39" s="685"/>
      <c r="E39" s="693"/>
      <c r="F39" s="698"/>
      <c r="G39" s="685"/>
      <c r="H39" s="693"/>
      <c r="I39" s="702"/>
      <c r="J39" s="685"/>
      <c r="K39" s="693"/>
    </row>
    <row r="40" spans="2:12" x14ac:dyDescent="0.25">
      <c r="B40" s="692"/>
      <c r="C40" s="698"/>
      <c r="D40" s="685"/>
      <c r="E40" s="693"/>
      <c r="F40" s="698"/>
      <c r="G40" s="685"/>
      <c r="H40" s="693"/>
      <c r="I40" s="702"/>
      <c r="J40" s="685"/>
      <c r="K40" s="693"/>
    </row>
    <row r="41" spans="2:12" x14ac:dyDescent="0.25">
      <c r="B41" s="692"/>
      <c r="C41" s="698"/>
      <c r="D41" s="685"/>
      <c r="E41" s="693"/>
      <c r="F41" s="698"/>
      <c r="G41" s="685"/>
      <c r="H41" s="693"/>
      <c r="I41" s="702"/>
      <c r="J41" s="685"/>
      <c r="K41" s="693"/>
    </row>
    <row r="42" spans="2:12" x14ac:dyDescent="0.25">
      <c r="B42" s="692"/>
      <c r="C42" s="698"/>
      <c r="D42" s="685"/>
      <c r="E42" s="693"/>
      <c r="F42" s="698"/>
      <c r="G42" s="685"/>
      <c r="H42" s="693"/>
      <c r="I42" s="702"/>
      <c r="J42" s="685"/>
      <c r="K42" s="693"/>
    </row>
    <row r="43" spans="2:12" x14ac:dyDescent="0.25">
      <c r="B43" s="692"/>
      <c r="C43" s="698"/>
      <c r="D43" s="685"/>
      <c r="E43" s="693"/>
      <c r="F43" s="698"/>
      <c r="G43" s="685"/>
      <c r="H43" s="693"/>
      <c r="I43" s="702"/>
      <c r="J43" s="685"/>
      <c r="K43" s="693"/>
    </row>
    <row r="44" spans="2:12" x14ac:dyDescent="0.25">
      <c r="B44" s="692"/>
      <c r="C44" s="698"/>
      <c r="D44" s="685"/>
      <c r="E44" s="693"/>
      <c r="F44" s="698"/>
      <c r="G44" s="685"/>
      <c r="H44" s="693"/>
      <c r="I44" s="702"/>
      <c r="J44" s="685"/>
      <c r="K44" s="693"/>
    </row>
    <row r="45" spans="2:12" x14ac:dyDescent="0.25">
      <c r="B45" s="692"/>
      <c r="C45" s="698"/>
      <c r="D45" s="685"/>
      <c r="E45" s="693"/>
      <c r="F45" s="698"/>
      <c r="G45" s="685"/>
      <c r="H45" s="693"/>
      <c r="I45" s="702"/>
      <c r="J45" s="685"/>
      <c r="K45" s="693"/>
    </row>
    <row r="46" spans="2:12" x14ac:dyDescent="0.25">
      <c r="B46" s="692"/>
      <c r="C46" s="698"/>
      <c r="D46" s="685"/>
      <c r="E46" s="693"/>
      <c r="F46" s="698"/>
      <c r="G46" s="685"/>
      <c r="H46" s="693"/>
      <c r="I46" s="702"/>
      <c r="J46" s="685"/>
      <c r="K46" s="693"/>
    </row>
    <row r="47" spans="2:12" x14ac:dyDescent="0.25">
      <c r="B47" s="692"/>
      <c r="C47" s="698"/>
      <c r="D47" s="685"/>
      <c r="E47" s="693"/>
      <c r="F47" s="698"/>
      <c r="G47" s="685"/>
      <c r="H47" s="693"/>
      <c r="I47" s="702"/>
      <c r="J47" s="685"/>
      <c r="K47" s="693"/>
    </row>
    <row r="48" spans="2:12" x14ac:dyDescent="0.25">
      <c r="B48" s="692"/>
      <c r="C48" s="698"/>
      <c r="D48" s="685"/>
      <c r="E48" s="693"/>
      <c r="F48" s="698"/>
      <c r="G48" s="685"/>
      <c r="H48" s="693"/>
      <c r="I48" s="702"/>
      <c r="J48" s="685"/>
      <c r="K48" s="693"/>
    </row>
    <row r="49" spans="2:11" x14ac:dyDescent="0.25">
      <c r="B49" s="692"/>
      <c r="C49" s="698"/>
      <c r="D49" s="685"/>
      <c r="E49" s="693"/>
      <c r="F49" s="698"/>
      <c r="G49" s="685"/>
      <c r="H49" s="693"/>
      <c r="I49" s="702"/>
      <c r="J49" s="685"/>
      <c r="K49" s="693"/>
    </row>
    <row r="50" spans="2:11" x14ac:dyDescent="0.25">
      <c r="B50" s="692"/>
      <c r="C50" s="698"/>
      <c r="D50" s="685"/>
      <c r="E50" s="693"/>
      <c r="F50" s="698"/>
      <c r="G50" s="685"/>
      <c r="H50" s="693"/>
      <c r="I50" s="702"/>
      <c r="J50" s="685"/>
      <c r="K50" s="693"/>
    </row>
    <row r="51" spans="2:11" x14ac:dyDescent="0.25">
      <c r="B51" s="692"/>
      <c r="C51" s="698"/>
      <c r="D51" s="685"/>
      <c r="E51" s="693"/>
      <c r="F51" s="698"/>
      <c r="G51" s="685"/>
      <c r="H51" s="693"/>
      <c r="I51" s="702"/>
      <c r="J51" s="685"/>
      <c r="K51" s="693"/>
    </row>
    <row r="52" spans="2:11" x14ac:dyDescent="0.25">
      <c r="B52" s="692"/>
      <c r="C52" s="698"/>
      <c r="D52" s="685"/>
      <c r="E52" s="693"/>
      <c r="F52" s="698"/>
      <c r="G52" s="685"/>
      <c r="H52" s="693"/>
      <c r="I52" s="702"/>
      <c r="J52" s="685"/>
      <c r="K52" s="693"/>
    </row>
    <row r="53" spans="2:11" x14ac:dyDescent="0.25">
      <c r="B53" s="692"/>
      <c r="C53" s="698"/>
      <c r="D53" s="685"/>
      <c r="E53" s="693"/>
      <c r="F53" s="698"/>
      <c r="G53" s="685"/>
      <c r="H53" s="693"/>
      <c r="I53" s="702"/>
      <c r="J53" s="685"/>
      <c r="K53" s="693"/>
    </row>
    <row r="54" spans="2:11" x14ac:dyDescent="0.25">
      <c r="B54" s="692"/>
      <c r="C54" s="698"/>
      <c r="D54" s="685"/>
      <c r="E54" s="693"/>
      <c r="F54" s="698"/>
      <c r="G54" s="685"/>
      <c r="H54" s="693"/>
      <c r="I54" s="702"/>
      <c r="J54" s="685"/>
      <c r="K54" s="693"/>
    </row>
    <row r="55" spans="2:11" x14ac:dyDescent="0.25">
      <c r="B55" s="692"/>
      <c r="C55" s="698"/>
      <c r="D55" s="685"/>
      <c r="E55" s="693"/>
      <c r="F55" s="698"/>
      <c r="G55" s="685"/>
      <c r="H55" s="693"/>
      <c r="I55" s="702"/>
      <c r="J55" s="685"/>
      <c r="K55" s="693"/>
    </row>
    <row r="56" spans="2:11" x14ac:dyDescent="0.25">
      <c r="B56" s="692"/>
      <c r="C56" s="698"/>
      <c r="D56" s="685"/>
      <c r="E56" s="693"/>
      <c r="F56" s="698"/>
      <c r="G56" s="685"/>
      <c r="H56" s="693"/>
      <c r="I56" s="702"/>
      <c r="J56" s="685"/>
      <c r="K56" s="693"/>
    </row>
    <row r="57" spans="2:11" x14ac:dyDescent="0.25">
      <c r="B57" s="692"/>
      <c r="C57" s="698"/>
      <c r="D57" s="685"/>
      <c r="E57" s="693"/>
      <c r="F57" s="698"/>
      <c r="G57" s="685"/>
      <c r="H57" s="693"/>
      <c r="I57" s="702"/>
      <c r="J57" s="685"/>
      <c r="K57" s="693"/>
    </row>
    <row r="58" spans="2:11" x14ac:dyDescent="0.25">
      <c r="B58" s="692"/>
      <c r="C58" s="698"/>
      <c r="D58" s="685"/>
      <c r="E58" s="693"/>
      <c r="F58" s="698"/>
      <c r="G58" s="685"/>
      <c r="H58" s="693"/>
      <c r="I58" s="702"/>
      <c r="J58" s="685"/>
      <c r="K58" s="693"/>
    </row>
    <row r="59" spans="2:11" x14ac:dyDescent="0.25">
      <c r="B59" s="692"/>
      <c r="C59" s="698"/>
      <c r="D59" s="685"/>
      <c r="E59" s="693"/>
      <c r="F59" s="698"/>
      <c r="G59" s="685"/>
      <c r="H59" s="693"/>
      <c r="I59" s="702"/>
      <c r="J59" s="685"/>
      <c r="K59" s="693"/>
    </row>
    <row r="60" spans="2:11" x14ac:dyDescent="0.25">
      <c r="B60" s="692"/>
      <c r="C60" s="698"/>
      <c r="D60" s="685"/>
      <c r="E60" s="693"/>
      <c r="F60" s="698"/>
      <c r="G60" s="685"/>
      <c r="H60" s="693"/>
      <c r="I60" s="702"/>
      <c r="J60" s="685"/>
      <c r="K60" s="693"/>
    </row>
    <row r="61" spans="2:11" x14ac:dyDescent="0.25">
      <c r="B61" s="692"/>
      <c r="C61" s="698"/>
      <c r="D61" s="685"/>
      <c r="E61" s="693"/>
      <c r="F61" s="698"/>
      <c r="G61" s="685"/>
      <c r="H61" s="693"/>
      <c r="I61" s="702"/>
      <c r="J61" s="685"/>
      <c r="K61" s="693"/>
    </row>
    <row r="62" spans="2:11" x14ac:dyDescent="0.25">
      <c r="B62" s="692"/>
      <c r="C62" s="698"/>
      <c r="D62" s="685"/>
      <c r="E62" s="693"/>
      <c r="F62" s="698"/>
      <c r="G62" s="685"/>
      <c r="H62" s="693"/>
      <c r="I62" s="702"/>
      <c r="J62" s="685"/>
      <c r="K62" s="693"/>
    </row>
    <row r="63" spans="2:11" x14ac:dyDescent="0.25">
      <c r="B63" s="692"/>
      <c r="C63" s="698"/>
      <c r="D63" s="685"/>
      <c r="E63" s="693"/>
      <c r="F63" s="698"/>
      <c r="G63" s="685"/>
      <c r="H63" s="693"/>
      <c r="I63" s="702"/>
      <c r="J63" s="685"/>
      <c r="K63" s="693"/>
    </row>
    <row r="64" spans="2:11" x14ac:dyDescent="0.25">
      <c r="B64" s="692"/>
      <c r="C64" s="698"/>
      <c r="D64" s="685"/>
      <c r="E64" s="693"/>
      <c r="F64" s="698"/>
      <c r="G64" s="685"/>
      <c r="H64" s="693"/>
      <c r="I64" s="702"/>
      <c r="J64" s="685"/>
      <c r="K64" s="693"/>
    </row>
    <row r="65" spans="2:11" x14ac:dyDescent="0.25">
      <c r="B65" s="692"/>
      <c r="C65" s="698"/>
      <c r="D65" s="685"/>
      <c r="E65" s="693"/>
      <c r="F65" s="698"/>
      <c r="G65" s="685"/>
      <c r="H65" s="693"/>
      <c r="I65" s="702"/>
      <c r="J65" s="685"/>
      <c r="K65" s="693"/>
    </row>
    <row r="66" spans="2:11" x14ac:dyDescent="0.25">
      <c r="B66" s="692"/>
      <c r="C66" s="698"/>
      <c r="D66" s="685"/>
      <c r="E66" s="693"/>
      <c r="F66" s="698"/>
      <c r="G66" s="685"/>
      <c r="H66" s="693"/>
      <c r="I66" s="702"/>
      <c r="J66" s="685"/>
      <c r="K66" s="693"/>
    </row>
    <row r="67" spans="2:11" x14ac:dyDescent="0.25">
      <c r="B67" s="692"/>
      <c r="C67" s="698"/>
      <c r="D67" s="685"/>
      <c r="E67" s="693"/>
      <c r="F67" s="698"/>
      <c r="G67" s="685"/>
      <c r="H67" s="693"/>
      <c r="I67" s="702"/>
      <c r="J67" s="685"/>
      <c r="K67" s="693"/>
    </row>
    <row r="68" spans="2:11" x14ac:dyDescent="0.25">
      <c r="B68" s="692"/>
      <c r="C68" s="698"/>
      <c r="D68" s="685"/>
      <c r="E68" s="693"/>
      <c r="F68" s="698"/>
      <c r="G68" s="685"/>
      <c r="H68" s="693"/>
      <c r="I68" s="702"/>
      <c r="J68" s="685"/>
      <c r="K68" s="693"/>
    </row>
    <row r="69" spans="2:11" x14ac:dyDescent="0.25">
      <c r="B69" s="692"/>
      <c r="C69" s="698"/>
      <c r="D69" s="685"/>
      <c r="E69" s="693"/>
      <c r="F69" s="698"/>
      <c r="G69" s="685"/>
      <c r="H69" s="693"/>
      <c r="I69" s="702"/>
      <c r="J69" s="685"/>
      <c r="K69" s="693"/>
    </row>
    <row r="70" spans="2:11" x14ac:dyDescent="0.25">
      <c r="B70" s="692"/>
      <c r="C70" s="698"/>
      <c r="D70" s="685"/>
      <c r="E70" s="693"/>
      <c r="F70" s="698"/>
      <c r="G70" s="685"/>
      <c r="H70" s="693"/>
      <c r="I70" s="702"/>
      <c r="J70" s="685"/>
      <c r="K70" s="693"/>
    </row>
    <row r="71" spans="2:11" x14ac:dyDescent="0.25">
      <c r="B71" s="692"/>
      <c r="C71" s="698"/>
      <c r="D71" s="685"/>
      <c r="E71" s="693"/>
      <c r="F71" s="698"/>
      <c r="G71" s="685"/>
      <c r="H71" s="693"/>
      <c r="I71" s="702"/>
      <c r="J71" s="685"/>
      <c r="K71" s="693"/>
    </row>
    <row r="72" spans="2:11" ht="15.75" thickBot="1" x14ac:dyDescent="0.3">
      <c r="B72" s="694"/>
      <c r="C72" s="699"/>
      <c r="D72" s="695"/>
      <c r="E72" s="696"/>
      <c r="F72" s="699"/>
      <c r="G72" s="695"/>
      <c r="H72" s="696"/>
      <c r="I72" s="703"/>
      <c r="J72" s="695"/>
      <c r="K72" s="696"/>
    </row>
  </sheetData>
  <mergeCells count="1">
    <mergeCell ref="B9:K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51E1-72DE-44F3-8EEC-9CA3DE549EDF}">
  <sheetPr>
    <tabColor theme="0" tint="-0.249977111117893"/>
  </sheetPr>
  <dimension ref="A1:AS220"/>
  <sheetViews>
    <sheetView showGridLines="0" zoomScale="80" zoomScaleNormal="80" workbookViewId="0">
      <selection activeCell="N32" sqref="N32"/>
    </sheetView>
  </sheetViews>
  <sheetFormatPr defaultColWidth="11.42578125" defaultRowHeight="12.75" x14ac:dyDescent="0.2"/>
  <cols>
    <col min="1" max="1" width="1.85546875" style="484" customWidth="1"/>
    <col min="2" max="2" width="15.85546875" style="535" customWidth="1"/>
    <col min="3" max="3" width="2.85546875" style="484" customWidth="1"/>
    <col min="4" max="4" width="26.5703125" style="484" customWidth="1"/>
    <col min="5" max="5" width="22.140625" style="484" customWidth="1"/>
    <col min="6" max="6" width="19.5703125" style="484" customWidth="1"/>
    <col min="7" max="7" width="26.140625" style="484" bestFit="1" customWidth="1"/>
    <col min="8" max="9" width="21.42578125" style="536" customWidth="1"/>
    <col min="10" max="10" width="18.85546875" style="484" customWidth="1"/>
    <col min="11" max="11" width="2.85546875" style="484" customWidth="1"/>
    <col min="12" max="12" width="31.85546875" style="484" bestFit="1" customWidth="1"/>
    <col min="13" max="13" width="24.42578125" style="484" bestFit="1" customWidth="1"/>
    <col min="14" max="14" width="18.85546875" style="484" customWidth="1"/>
    <col min="15" max="15" width="21.85546875" style="484" bestFit="1" customWidth="1"/>
    <col min="16" max="16" width="21.85546875" style="536" customWidth="1"/>
    <col min="17" max="17" width="18.85546875" style="484" customWidth="1"/>
    <col min="18" max="18" width="2.85546875" style="484" customWidth="1"/>
    <col min="19" max="19" width="25.5703125" style="484" bestFit="1" customWidth="1"/>
    <col min="20" max="24" width="21.140625" style="484" customWidth="1"/>
    <col min="25" max="16384" width="11.42578125" style="484"/>
  </cols>
  <sheetData>
    <row r="1" spans="2:45" ht="6.75" customHeight="1" x14ac:dyDescent="0.2">
      <c r="B1" s="484"/>
      <c r="H1" s="484"/>
      <c r="I1" s="484"/>
      <c r="P1" s="484"/>
    </row>
    <row r="2" spans="2:45" ht="11.25" customHeight="1" x14ac:dyDescent="0.2">
      <c r="B2" s="484"/>
      <c r="H2" s="484"/>
      <c r="I2" s="484"/>
      <c r="P2" s="484"/>
    </row>
    <row r="3" spans="2:45" ht="11.25" customHeight="1" x14ac:dyDescent="0.2">
      <c r="B3" s="484"/>
      <c r="H3" s="484"/>
      <c r="I3" s="484"/>
      <c r="P3" s="484"/>
    </row>
    <row r="4" spans="2:45" ht="11.25" customHeight="1" x14ac:dyDescent="0.2">
      <c r="B4" s="484"/>
      <c r="H4" s="484"/>
      <c r="I4" s="484"/>
      <c r="P4" s="484"/>
    </row>
    <row r="5" spans="2:45" ht="11.25" customHeight="1" x14ac:dyDescent="0.2">
      <c r="B5" s="484"/>
      <c r="H5" s="484"/>
      <c r="I5" s="484"/>
      <c r="P5" s="484"/>
    </row>
    <row r="6" spans="2:45" ht="11.25" customHeight="1" x14ac:dyDescent="0.2">
      <c r="B6" s="484"/>
      <c r="H6" s="484"/>
      <c r="I6" s="484"/>
      <c r="P6" s="484"/>
    </row>
    <row r="7" spans="2:45" ht="11.25" customHeight="1" x14ac:dyDescent="0.2">
      <c r="B7" s="484"/>
      <c r="H7" s="484"/>
      <c r="I7" s="484"/>
      <c r="P7" s="484"/>
    </row>
    <row r="8" spans="2:45" ht="11.25" customHeight="1" x14ac:dyDescent="0.2">
      <c r="B8" s="484"/>
      <c r="H8" s="484"/>
      <c r="I8" s="484"/>
      <c r="P8" s="484"/>
    </row>
    <row r="9" spans="2:45" ht="14.25" customHeight="1" x14ac:dyDescent="0.2">
      <c r="B9" s="484"/>
      <c r="H9" s="484"/>
      <c r="I9" s="484"/>
      <c r="P9" s="484"/>
    </row>
    <row r="10" spans="2:45" ht="15.75" x14ac:dyDescent="0.25">
      <c r="B10" s="1149" t="s">
        <v>819</v>
      </c>
      <c r="C10" s="1150"/>
      <c r="D10" s="1150"/>
      <c r="E10" s="1150"/>
      <c r="F10" s="1150"/>
      <c r="G10" s="1150"/>
      <c r="H10" s="1150"/>
      <c r="I10" s="1150"/>
      <c r="J10" s="1150"/>
      <c r="K10" s="1150"/>
      <c r="L10" s="1150"/>
      <c r="M10" s="1150"/>
      <c r="N10" s="1150"/>
      <c r="O10" s="1150"/>
      <c r="P10" s="1150"/>
      <c r="Q10" s="1150"/>
      <c r="R10" s="1150"/>
      <c r="S10" s="1150"/>
      <c r="T10" s="1150"/>
      <c r="U10" s="1150"/>
      <c r="V10" s="1150"/>
      <c r="W10" s="1150"/>
      <c r="X10" s="1150"/>
    </row>
    <row r="11" spans="2:45" ht="21" customHeight="1" x14ac:dyDescent="0.2">
      <c r="B11" s="484"/>
      <c r="C11" s="485"/>
      <c r="D11" s="485"/>
      <c r="E11" s="485"/>
      <c r="F11" s="485"/>
      <c r="G11" s="485"/>
      <c r="H11" s="485"/>
      <c r="I11" s="485"/>
      <c r="J11" s="485"/>
      <c r="K11" s="485"/>
      <c r="L11" s="485"/>
      <c r="M11" s="485"/>
      <c r="N11" s="485"/>
      <c r="O11" s="485"/>
      <c r="P11" s="485"/>
      <c r="Q11" s="485"/>
      <c r="R11" s="485"/>
    </row>
    <row r="12" spans="2:45" ht="12" customHeight="1" x14ac:dyDescent="0.2">
      <c r="B12" s="484"/>
      <c r="D12" s="486" t="s">
        <v>98</v>
      </c>
      <c r="E12" s="487" t="s">
        <v>683</v>
      </c>
      <c r="F12" s="485"/>
      <c r="G12" s="485"/>
      <c r="H12" s="485"/>
      <c r="I12" s="485"/>
      <c r="J12" s="485"/>
      <c r="K12" s="485"/>
      <c r="L12" s="486" t="s">
        <v>98</v>
      </c>
      <c r="M12" s="487" t="s">
        <v>703</v>
      </c>
      <c r="P12" s="484"/>
      <c r="Q12" s="485"/>
      <c r="R12" s="485"/>
      <c r="S12" s="486" t="s">
        <v>98</v>
      </c>
      <c r="T12" s="487" t="s">
        <v>719</v>
      </c>
    </row>
    <row r="13" spans="2:45" s="488" customFormat="1" ht="12" customHeight="1" x14ac:dyDescent="0.2">
      <c r="C13" s="489"/>
      <c r="D13" s="803" t="s">
        <v>695</v>
      </c>
      <c r="E13" s="804">
        <v>100000</v>
      </c>
      <c r="F13" s="489"/>
      <c r="G13" s="489"/>
      <c r="H13" s="489"/>
      <c r="I13" s="489"/>
      <c r="J13" s="489"/>
      <c r="K13" s="489"/>
      <c r="L13" s="803" t="s">
        <v>695</v>
      </c>
      <c r="M13" s="805">
        <v>1000</v>
      </c>
      <c r="Q13" s="489"/>
      <c r="R13" s="489"/>
      <c r="S13" s="490" t="s">
        <v>695</v>
      </c>
      <c r="T13" s="491">
        <v>150</v>
      </c>
      <c r="AM13" s="492"/>
      <c r="AP13" s="492"/>
      <c r="AS13" s="492"/>
    </row>
    <row r="14" spans="2:45" ht="12" customHeight="1" x14ac:dyDescent="0.2">
      <c r="B14" s="485"/>
      <c r="C14" s="485"/>
      <c r="D14" s="806" t="s">
        <v>696</v>
      </c>
      <c r="E14" s="807">
        <v>1</v>
      </c>
      <c r="F14" s="485"/>
      <c r="G14" s="485"/>
      <c r="H14" s="485"/>
      <c r="I14" s="485"/>
      <c r="J14" s="485"/>
      <c r="K14" s="485"/>
      <c r="L14" s="806" t="s">
        <v>696</v>
      </c>
      <c r="M14" s="807">
        <v>1</v>
      </c>
      <c r="P14" s="484"/>
      <c r="Q14" s="485"/>
      <c r="R14" s="485"/>
      <c r="S14" s="493" t="s">
        <v>696</v>
      </c>
      <c r="T14" s="494">
        <v>1</v>
      </c>
    </row>
    <row r="15" spans="2:45" ht="12" customHeight="1" x14ac:dyDescent="0.2">
      <c r="B15" s="485"/>
      <c r="C15" s="485"/>
      <c r="D15" s="587" t="s">
        <v>1391</v>
      </c>
      <c r="E15" s="824">
        <v>2.5000000000000001E-3</v>
      </c>
      <c r="F15" s="485"/>
      <c r="G15" s="485"/>
      <c r="H15" s="485"/>
      <c r="I15" s="485"/>
      <c r="J15" s="485"/>
      <c r="K15" s="485"/>
      <c r="L15" s="587" t="s">
        <v>1391</v>
      </c>
      <c r="M15" s="588">
        <v>0</v>
      </c>
      <c r="P15" s="484"/>
      <c r="Q15" s="485"/>
      <c r="R15" s="485"/>
      <c r="S15" s="496" t="s">
        <v>714</v>
      </c>
      <c r="T15" s="653" t="s">
        <v>720</v>
      </c>
    </row>
    <row r="16" spans="2:45" ht="12" customHeight="1" x14ac:dyDescent="0.2">
      <c r="B16" s="495"/>
      <c r="C16" s="485"/>
      <c r="D16" s="587" t="s">
        <v>714</v>
      </c>
      <c r="E16" s="588" t="s">
        <v>722</v>
      </c>
      <c r="F16" s="485"/>
      <c r="G16" s="497"/>
      <c r="H16" s="485"/>
      <c r="I16" s="485"/>
      <c r="J16" s="485"/>
      <c r="K16" s="485"/>
      <c r="L16" s="587" t="s">
        <v>714</v>
      </c>
      <c r="M16" s="588" t="s">
        <v>723</v>
      </c>
      <c r="O16" s="498"/>
      <c r="P16" s="498"/>
      <c r="Q16" s="485"/>
      <c r="R16" s="485"/>
    </row>
    <row r="17" spans="1:24" ht="12" customHeight="1" x14ac:dyDescent="0.2">
      <c r="B17" s="495"/>
      <c r="C17" s="485"/>
      <c r="D17" s="808" t="s">
        <v>697</v>
      </c>
      <c r="E17" s="809" t="s">
        <v>726</v>
      </c>
      <c r="F17" s="485"/>
      <c r="G17" s="497"/>
      <c r="H17" s="485"/>
      <c r="I17" s="485"/>
      <c r="J17" s="485"/>
      <c r="K17" s="485"/>
      <c r="L17" s="808" t="s">
        <v>697</v>
      </c>
      <c r="M17" s="810" t="s">
        <v>1392</v>
      </c>
      <c r="O17" s="498"/>
      <c r="P17" s="498"/>
      <c r="Q17" s="485"/>
      <c r="R17" s="485"/>
    </row>
    <row r="18" spans="1:24" ht="12" customHeight="1" x14ac:dyDescent="0.2">
      <c r="B18" s="495"/>
      <c r="C18" s="485"/>
      <c r="D18" s="1147" t="s">
        <v>1393</v>
      </c>
      <c r="E18" s="809" t="s">
        <v>1446</v>
      </c>
      <c r="F18" s="485"/>
      <c r="G18" s="497"/>
      <c r="H18" s="485"/>
      <c r="I18" s="485"/>
      <c r="J18" s="485"/>
      <c r="K18" s="485"/>
      <c r="L18" s="808" t="s">
        <v>1393</v>
      </c>
      <c r="M18" s="811" t="s">
        <v>1394</v>
      </c>
      <c r="O18" s="498"/>
      <c r="P18" s="498"/>
      <c r="Q18" s="485"/>
      <c r="R18" s="485"/>
    </row>
    <row r="19" spans="1:24" ht="12" customHeight="1" x14ac:dyDescent="0.2">
      <c r="B19" s="495"/>
      <c r="C19" s="485"/>
      <c r="D19" s="1148"/>
      <c r="E19" s="809" t="s">
        <v>1447</v>
      </c>
      <c r="F19" s="485"/>
      <c r="G19" s="497"/>
      <c r="H19" s="485"/>
      <c r="I19" s="485"/>
      <c r="J19" s="849"/>
      <c r="K19" s="849"/>
      <c r="L19" s="849"/>
      <c r="M19" s="849"/>
      <c r="O19" s="498"/>
      <c r="P19" s="498"/>
      <c r="Q19" s="485"/>
      <c r="R19" s="485"/>
    </row>
    <row r="20" spans="1:24" ht="21" customHeight="1" x14ac:dyDescent="0.2">
      <c r="B20" s="485"/>
      <c r="C20" s="485"/>
      <c r="H20" s="484"/>
      <c r="I20" s="484"/>
      <c r="P20" s="484"/>
    </row>
    <row r="21" spans="1:24" s="499" customFormat="1" ht="25.5" customHeight="1" x14ac:dyDescent="0.25">
      <c r="B21" s="1154" t="s">
        <v>25</v>
      </c>
      <c r="C21" s="500"/>
      <c r="D21" s="1151" t="s">
        <v>683</v>
      </c>
      <c r="E21" s="1152"/>
      <c r="F21" s="1152"/>
      <c r="G21" s="1152"/>
      <c r="H21" s="1152"/>
      <c r="I21" s="1157"/>
      <c r="J21" s="1153"/>
      <c r="K21" s="500"/>
      <c r="L21" s="1151" t="s">
        <v>703</v>
      </c>
      <c r="M21" s="1152"/>
      <c r="N21" s="1152"/>
      <c r="O21" s="1152"/>
      <c r="P21" s="1152"/>
      <c r="Q21" s="1153"/>
      <c r="R21" s="500"/>
      <c r="S21" s="1151" t="s">
        <v>248</v>
      </c>
      <c r="T21" s="1152"/>
      <c r="U21" s="1152"/>
      <c r="V21" s="1152"/>
      <c r="W21" s="1152"/>
      <c r="X21" s="1153"/>
    </row>
    <row r="22" spans="1:24" ht="25.5" customHeight="1" thickBot="1" x14ac:dyDescent="0.25">
      <c r="B22" s="1155"/>
      <c r="C22" s="501"/>
      <c r="D22" s="1143" t="s">
        <v>698</v>
      </c>
      <c r="E22" s="1143" t="s">
        <v>699</v>
      </c>
      <c r="F22" s="1143" t="s">
        <v>700</v>
      </c>
      <c r="G22" s="1143" t="s">
        <v>701</v>
      </c>
      <c r="H22" s="1143" t="s">
        <v>705</v>
      </c>
      <c r="I22" s="1143" t="s">
        <v>1459</v>
      </c>
      <c r="J22" s="1145" t="s">
        <v>702</v>
      </c>
      <c r="K22" s="501"/>
      <c r="L22" s="1143" t="s">
        <v>698</v>
      </c>
      <c r="M22" s="1143" t="s">
        <v>699</v>
      </c>
      <c r="N22" s="1143" t="s">
        <v>700</v>
      </c>
      <c r="O22" s="1143" t="s">
        <v>701</v>
      </c>
      <c r="P22" s="1143" t="s">
        <v>704</v>
      </c>
      <c r="Q22" s="1143" t="s">
        <v>702</v>
      </c>
      <c r="R22" s="501"/>
      <c r="S22" s="1143" t="s">
        <v>746</v>
      </c>
      <c r="T22" s="1143" t="s">
        <v>699</v>
      </c>
      <c r="U22" s="1143" t="s">
        <v>700</v>
      </c>
      <c r="V22" s="1143" t="s">
        <v>747</v>
      </c>
      <c r="W22" s="1143" t="s">
        <v>748</v>
      </c>
      <c r="X22" s="1143" t="s">
        <v>749</v>
      </c>
    </row>
    <row r="23" spans="1:24" ht="25.5" customHeight="1" thickTop="1" x14ac:dyDescent="0.2">
      <c r="B23" s="1156"/>
      <c r="C23" s="501"/>
      <c r="D23" s="1144"/>
      <c r="E23" s="1144"/>
      <c r="F23" s="1144"/>
      <c r="G23" s="1144"/>
      <c r="H23" s="1144"/>
      <c r="I23" s="1144"/>
      <c r="J23" s="1146"/>
      <c r="K23" s="501"/>
      <c r="L23" s="1144"/>
      <c r="M23" s="1144"/>
      <c r="N23" s="1144"/>
      <c r="O23" s="1144"/>
      <c r="P23" s="1144"/>
      <c r="Q23" s="1144"/>
      <c r="R23" s="501"/>
      <c r="S23" s="1144"/>
      <c r="T23" s="1144"/>
      <c r="U23" s="1144"/>
      <c r="V23" s="1144"/>
      <c r="W23" s="1144"/>
      <c r="X23" s="1144"/>
    </row>
    <row r="24" spans="1:24" s="510" customFormat="1" ht="12" x14ac:dyDescent="0.2">
      <c r="A24" s="502">
        <v>22</v>
      </c>
      <c r="B24" s="503">
        <f>'00 - Cover'!F17</f>
        <v>45590</v>
      </c>
      <c r="C24" s="504"/>
      <c r="D24" s="505">
        <f>G25</f>
        <v>633803781.08000004</v>
      </c>
      <c r="E24" s="506">
        <v>0</v>
      </c>
      <c r="F24" s="506">
        <f>MIN(D24,'15 - Priority of Payments'!L24)</f>
        <v>18354315.369999994</v>
      </c>
      <c r="G24" s="506">
        <f>D24+E24-F24</f>
        <v>615449465.71000004</v>
      </c>
      <c r="H24" s="507">
        <f>'12 - Notes Interest'!B17</f>
        <v>6835</v>
      </c>
      <c r="I24" s="1040">
        <f>F24/H24</f>
        <v>2685.3424096561803</v>
      </c>
      <c r="J24" s="508">
        <f>G24/H24</f>
        <v>90043.813564008786</v>
      </c>
      <c r="K24" s="504"/>
      <c r="L24" s="505">
        <f>O25</f>
        <v>67585000</v>
      </c>
      <c r="M24" s="506">
        <v>0</v>
      </c>
      <c r="N24" s="506">
        <f>IF('11 - Notes Follow-up'!G24&gt;0,0,MIN(L24,'15 - Priority of Payments'!L25))</f>
        <v>0</v>
      </c>
      <c r="O24" s="506">
        <f>L24+M24-N24</f>
        <v>67585000</v>
      </c>
      <c r="P24" s="509">
        <v>67585</v>
      </c>
      <c r="Q24" s="508">
        <f>O24/P24</f>
        <v>1000</v>
      </c>
      <c r="R24" s="504"/>
      <c r="S24" s="505">
        <f>V25</f>
        <v>300</v>
      </c>
      <c r="T24" s="506">
        <v>0</v>
      </c>
      <c r="U24" s="506">
        <v>0</v>
      </c>
      <c r="V24" s="506">
        <f>S24+T24-U24</f>
        <v>300</v>
      </c>
      <c r="W24" s="509">
        <v>2</v>
      </c>
      <c r="X24" s="508">
        <f>V24/W24</f>
        <v>150</v>
      </c>
    </row>
    <row r="25" spans="1:24" s="521" customFormat="1" x14ac:dyDescent="0.2">
      <c r="A25" s="511">
        <f>A24-1</f>
        <v>21</v>
      </c>
      <c r="B25" s="512">
        <v>45498</v>
      </c>
      <c r="C25" s="513"/>
      <c r="D25" s="514">
        <v>650283436.13999999</v>
      </c>
      <c r="E25" s="515">
        <v>0</v>
      </c>
      <c r="F25" s="515">
        <v>16479655.059999999</v>
      </c>
      <c r="G25" s="516">
        <v>633803781.08000004</v>
      </c>
      <c r="H25" s="517">
        <v>6835</v>
      </c>
      <c r="I25" s="1016">
        <v>2411.0687724945133</v>
      </c>
      <c r="J25" s="518">
        <v>92729.155973664965</v>
      </c>
      <c r="K25" s="519"/>
      <c r="L25" s="520">
        <v>67585000</v>
      </c>
      <c r="M25" s="515">
        <v>0</v>
      </c>
      <c r="N25" s="515">
        <v>0</v>
      </c>
      <c r="O25" s="516">
        <v>67585000</v>
      </c>
      <c r="P25" s="517">
        <v>67585</v>
      </c>
      <c r="Q25" s="518">
        <v>1000</v>
      </c>
      <c r="R25" s="519"/>
      <c r="S25" s="520">
        <v>300</v>
      </c>
      <c r="T25" s="515">
        <v>0</v>
      </c>
      <c r="U25" s="515">
        <v>0</v>
      </c>
      <c r="V25" s="516">
        <v>300</v>
      </c>
      <c r="W25" s="517">
        <v>2</v>
      </c>
      <c r="X25" s="518">
        <v>150</v>
      </c>
    </row>
    <row r="26" spans="1:24" s="521" customFormat="1" x14ac:dyDescent="0.2">
      <c r="A26" s="522">
        <f>A25-1</f>
        <v>20</v>
      </c>
      <c r="B26" s="512">
        <v>45407</v>
      </c>
      <c r="C26" s="523"/>
      <c r="D26" s="514">
        <v>683500000</v>
      </c>
      <c r="E26" s="515">
        <v>0</v>
      </c>
      <c r="F26" s="515">
        <v>33216563.859999996</v>
      </c>
      <c r="G26" s="516">
        <v>650283436.13999999</v>
      </c>
      <c r="H26" s="517">
        <v>6835</v>
      </c>
      <c r="I26" s="1017">
        <v>4859.7752538405257</v>
      </c>
      <c r="J26" s="518">
        <v>95140.224746159467</v>
      </c>
      <c r="K26" s="519"/>
      <c r="L26" s="520">
        <v>67585000</v>
      </c>
      <c r="M26" s="515">
        <v>0</v>
      </c>
      <c r="N26" s="515">
        <v>0</v>
      </c>
      <c r="O26" s="516">
        <v>67585000</v>
      </c>
      <c r="P26" s="517">
        <v>67585</v>
      </c>
      <c r="Q26" s="518">
        <v>1000</v>
      </c>
      <c r="R26" s="519"/>
      <c r="S26" s="520">
        <v>300</v>
      </c>
      <c r="T26" s="515">
        <v>0</v>
      </c>
      <c r="U26" s="515">
        <v>0</v>
      </c>
      <c r="V26" s="516">
        <v>300</v>
      </c>
      <c r="W26" s="517">
        <v>2</v>
      </c>
      <c r="X26" s="518">
        <v>150</v>
      </c>
    </row>
    <row r="27" spans="1:24" s="521" customFormat="1" x14ac:dyDescent="0.2">
      <c r="A27" s="522">
        <f t="shared" ref="A27:A90" si="0">A26-1</f>
        <v>19</v>
      </c>
      <c r="B27" s="512">
        <v>45268</v>
      </c>
      <c r="C27" s="523"/>
      <c r="D27" s="514">
        <v>0</v>
      </c>
      <c r="E27" s="515">
        <v>683500000</v>
      </c>
      <c r="F27" s="515">
        <v>0</v>
      </c>
      <c r="G27" s="516">
        <v>683500000</v>
      </c>
      <c r="H27" s="517">
        <v>6835</v>
      </c>
      <c r="I27" s="1017">
        <v>0</v>
      </c>
      <c r="J27" s="518">
        <v>100000</v>
      </c>
      <c r="K27" s="519"/>
      <c r="L27" s="520">
        <v>0</v>
      </c>
      <c r="M27" s="515">
        <v>67585000</v>
      </c>
      <c r="N27" s="515">
        <v>0</v>
      </c>
      <c r="O27" s="516">
        <v>67585000</v>
      </c>
      <c r="P27" s="517">
        <v>67585</v>
      </c>
      <c r="Q27" s="518">
        <v>1000</v>
      </c>
      <c r="R27" s="519"/>
      <c r="S27" s="520">
        <v>0</v>
      </c>
      <c r="T27" s="515">
        <v>300</v>
      </c>
      <c r="U27" s="515">
        <v>0</v>
      </c>
      <c r="V27" s="516">
        <v>300</v>
      </c>
      <c r="W27" s="517">
        <v>2</v>
      </c>
      <c r="X27" s="518">
        <v>150</v>
      </c>
    </row>
    <row r="28" spans="1:24" s="521" customFormat="1" x14ac:dyDescent="0.2">
      <c r="A28" s="522">
        <f t="shared" si="0"/>
        <v>18</v>
      </c>
      <c r="B28" s="833"/>
      <c r="C28" s="523"/>
      <c r="D28" s="834"/>
      <c r="E28" s="835"/>
      <c r="F28" s="835"/>
      <c r="G28" s="836"/>
      <c r="H28" s="837"/>
      <c r="I28" s="872"/>
      <c r="J28" s="838"/>
      <c r="K28" s="519"/>
      <c r="L28" s="520"/>
      <c r="M28" s="515"/>
      <c r="N28" s="515"/>
      <c r="O28" s="516"/>
      <c r="P28" s="517"/>
      <c r="Q28" s="518"/>
      <c r="R28" s="519"/>
      <c r="S28" s="520"/>
      <c r="T28" s="515"/>
      <c r="U28" s="515"/>
      <c r="V28" s="516"/>
      <c r="W28" s="517"/>
      <c r="X28" s="518"/>
    </row>
    <row r="29" spans="1:24" s="521" customFormat="1" x14ac:dyDescent="0.2">
      <c r="A29" s="522">
        <f t="shared" si="0"/>
        <v>17</v>
      </c>
      <c r="B29" s="833"/>
      <c r="C29" s="513"/>
      <c r="D29" s="834"/>
      <c r="E29" s="835"/>
      <c r="F29" s="835"/>
      <c r="G29" s="836"/>
      <c r="H29" s="837"/>
      <c r="I29" s="872"/>
      <c r="J29" s="838"/>
      <c r="K29" s="519"/>
      <c r="L29" s="520"/>
      <c r="M29" s="515"/>
      <c r="N29" s="515"/>
      <c r="O29" s="516"/>
      <c r="P29" s="517"/>
      <c r="Q29" s="518"/>
      <c r="R29" s="519"/>
      <c r="S29" s="520"/>
      <c r="T29" s="515"/>
      <c r="U29" s="515"/>
      <c r="V29" s="516"/>
      <c r="W29" s="517"/>
      <c r="X29" s="518"/>
    </row>
    <row r="30" spans="1:24" s="521" customFormat="1" x14ac:dyDescent="0.2">
      <c r="A30" s="522">
        <f t="shared" si="0"/>
        <v>16</v>
      </c>
      <c r="B30" s="833"/>
      <c r="C30" s="513"/>
      <c r="D30" s="834"/>
      <c r="E30" s="835"/>
      <c r="F30" s="835"/>
      <c r="G30" s="836"/>
      <c r="H30" s="837"/>
      <c r="I30" s="872"/>
      <c r="J30" s="838"/>
      <c r="K30" s="519"/>
      <c r="L30" s="520"/>
      <c r="M30" s="515"/>
      <c r="N30" s="515"/>
      <c r="O30" s="516"/>
      <c r="P30" s="517"/>
      <c r="Q30" s="518"/>
      <c r="R30" s="519"/>
      <c r="S30" s="520"/>
      <c r="T30" s="515"/>
      <c r="U30" s="515"/>
      <c r="V30" s="516"/>
      <c r="W30" s="517"/>
      <c r="X30" s="518"/>
    </row>
    <row r="31" spans="1:24" s="521" customFormat="1" x14ac:dyDescent="0.2">
      <c r="A31" s="522">
        <f t="shared" si="0"/>
        <v>15</v>
      </c>
      <c r="B31" s="833"/>
      <c r="C31" s="513"/>
      <c r="D31" s="834"/>
      <c r="E31" s="835"/>
      <c r="F31" s="835"/>
      <c r="G31" s="836"/>
      <c r="H31" s="837"/>
      <c r="I31" s="872"/>
      <c r="J31" s="838"/>
      <c r="K31" s="519"/>
      <c r="L31" s="520"/>
      <c r="M31" s="515"/>
      <c r="N31" s="515"/>
      <c r="O31" s="516"/>
      <c r="P31" s="517"/>
      <c r="Q31" s="518"/>
      <c r="R31" s="519"/>
      <c r="S31" s="520"/>
      <c r="T31" s="515"/>
      <c r="U31" s="515"/>
      <c r="V31" s="516"/>
      <c r="W31" s="517"/>
      <c r="X31" s="518"/>
    </row>
    <row r="32" spans="1:24" s="521" customFormat="1" x14ac:dyDescent="0.2">
      <c r="A32" s="522">
        <f t="shared" si="0"/>
        <v>14</v>
      </c>
      <c r="B32" s="833"/>
      <c r="C32" s="524"/>
      <c r="D32" s="834"/>
      <c r="E32" s="835"/>
      <c r="F32" s="835"/>
      <c r="G32" s="836"/>
      <c r="H32" s="837"/>
      <c r="I32" s="872"/>
      <c r="J32" s="838"/>
      <c r="K32" s="525"/>
      <c r="L32" s="520"/>
      <c r="M32" s="515"/>
      <c r="N32" s="515"/>
      <c r="O32" s="516"/>
      <c r="P32" s="517"/>
      <c r="Q32" s="518"/>
      <c r="R32" s="525"/>
      <c r="S32" s="520"/>
      <c r="T32" s="515"/>
      <c r="U32" s="515"/>
      <c r="V32" s="516"/>
      <c r="W32" s="517"/>
      <c r="X32" s="518"/>
    </row>
    <row r="33" spans="1:24" s="521" customFormat="1" x14ac:dyDescent="0.2">
      <c r="A33" s="522">
        <f t="shared" si="0"/>
        <v>13</v>
      </c>
      <c r="B33" s="833"/>
      <c r="C33" s="524"/>
      <c r="D33" s="834"/>
      <c r="E33" s="835"/>
      <c r="F33" s="835"/>
      <c r="G33" s="836"/>
      <c r="H33" s="837"/>
      <c r="I33" s="872"/>
      <c r="J33" s="838"/>
      <c r="K33" s="525"/>
      <c r="L33" s="520"/>
      <c r="M33" s="515"/>
      <c r="N33" s="515"/>
      <c r="O33" s="516"/>
      <c r="P33" s="517"/>
      <c r="Q33" s="518"/>
      <c r="R33" s="525"/>
      <c r="S33" s="520"/>
      <c r="T33" s="515"/>
      <c r="U33" s="515"/>
      <c r="V33" s="516"/>
      <c r="W33" s="517"/>
      <c r="X33" s="518"/>
    </row>
    <row r="34" spans="1:24" s="521" customFormat="1" x14ac:dyDescent="0.2">
      <c r="A34" s="522">
        <f t="shared" si="0"/>
        <v>12</v>
      </c>
      <c r="B34" s="833"/>
      <c r="C34" s="524"/>
      <c r="D34" s="834"/>
      <c r="E34" s="835"/>
      <c r="F34" s="835"/>
      <c r="G34" s="836"/>
      <c r="H34" s="837"/>
      <c r="I34" s="872"/>
      <c r="J34" s="838"/>
      <c r="K34" s="525"/>
      <c r="L34" s="520"/>
      <c r="M34" s="515"/>
      <c r="N34" s="515"/>
      <c r="O34" s="516"/>
      <c r="P34" s="517"/>
      <c r="Q34" s="518"/>
      <c r="R34" s="525"/>
      <c r="S34" s="520"/>
      <c r="T34" s="515"/>
      <c r="U34" s="515"/>
      <c r="V34" s="516"/>
      <c r="W34" s="517"/>
      <c r="X34" s="518"/>
    </row>
    <row r="35" spans="1:24" s="521" customFormat="1" x14ac:dyDescent="0.2">
      <c r="A35" s="522">
        <f t="shared" si="0"/>
        <v>11</v>
      </c>
      <c r="B35" s="833"/>
      <c r="C35" s="524"/>
      <c r="D35" s="834"/>
      <c r="E35" s="835"/>
      <c r="F35" s="835"/>
      <c r="G35" s="836"/>
      <c r="H35" s="837"/>
      <c r="I35" s="872"/>
      <c r="J35" s="838"/>
      <c r="K35" s="525"/>
      <c r="L35" s="520"/>
      <c r="M35" s="515"/>
      <c r="N35" s="515"/>
      <c r="O35" s="516"/>
      <c r="P35" s="517"/>
      <c r="Q35" s="518"/>
      <c r="R35" s="525"/>
      <c r="S35" s="520"/>
      <c r="T35" s="515"/>
      <c r="U35" s="515"/>
      <c r="V35" s="516"/>
      <c r="W35" s="517"/>
      <c r="X35" s="518"/>
    </row>
    <row r="36" spans="1:24" s="521" customFormat="1" x14ac:dyDescent="0.2">
      <c r="A36" s="522">
        <f t="shared" si="0"/>
        <v>10</v>
      </c>
      <c r="B36" s="833"/>
      <c r="C36" s="524"/>
      <c r="D36" s="834"/>
      <c r="E36" s="835"/>
      <c r="F36" s="835"/>
      <c r="G36" s="836"/>
      <c r="H36" s="837"/>
      <c r="I36" s="872"/>
      <c r="J36" s="838"/>
      <c r="K36" s="525"/>
      <c r="L36" s="520"/>
      <c r="M36" s="515"/>
      <c r="N36" s="515"/>
      <c r="O36" s="516"/>
      <c r="P36" s="517"/>
      <c r="Q36" s="518"/>
      <c r="R36" s="525"/>
      <c r="S36" s="520"/>
      <c r="T36" s="515"/>
      <c r="U36" s="515"/>
      <c r="V36" s="516"/>
      <c r="W36" s="517"/>
      <c r="X36" s="518"/>
    </row>
    <row r="37" spans="1:24" s="521" customFormat="1" x14ac:dyDescent="0.2">
      <c r="A37" s="522">
        <f t="shared" si="0"/>
        <v>9</v>
      </c>
      <c r="B37" s="833"/>
      <c r="C37" s="524"/>
      <c r="D37" s="834"/>
      <c r="E37" s="835"/>
      <c r="F37" s="835"/>
      <c r="G37" s="836"/>
      <c r="H37" s="837"/>
      <c r="I37" s="872"/>
      <c r="J37" s="838"/>
      <c r="K37" s="525"/>
      <c r="L37" s="520"/>
      <c r="M37" s="515"/>
      <c r="N37" s="515"/>
      <c r="O37" s="516"/>
      <c r="P37" s="517"/>
      <c r="Q37" s="518"/>
      <c r="R37" s="525"/>
      <c r="S37" s="520"/>
      <c r="T37" s="515"/>
      <c r="U37" s="515"/>
      <c r="V37" s="516"/>
      <c r="W37" s="517"/>
      <c r="X37" s="518"/>
    </row>
    <row r="38" spans="1:24" s="521" customFormat="1" x14ac:dyDescent="0.2">
      <c r="A38" s="522">
        <f t="shared" si="0"/>
        <v>8</v>
      </c>
      <c r="B38" s="833"/>
      <c r="C38" s="524"/>
      <c r="D38" s="834"/>
      <c r="E38" s="835"/>
      <c r="F38" s="835"/>
      <c r="G38" s="836"/>
      <c r="H38" s="837"/>
      <c r="I38" s="872"/>
      <c r="J38" s="838"/>
      <c r="K38" s="525"/>
      <c r="L38" s="520"/>
      <c r="M38" s="515"/>
      <c r="N38" s="515"/>
      <c r="O38" s="516"/>
      <c r="P38" s="517"/>
      <c r="Q38" s="518"/>
      <c r="R38" s="525"/>
      <c r="S38" s="520"/>
      <c r="T38" s="515"/>
      <c r="U38" s="515"/>
      <c r="V38" s="516"/>
      <c r="W38" s="517"/>
      <c r="X38" s="518"/>
    </row>
    <row r="39" spans="1:24" s="521" customFormat="1" x14ac:dyDescent="0.2">
      <c r="A39" s="522">
        <f t="shared" si="0"/>
        <v>7</v>
      </c>
      <c r="B39" s="833"/>
      <c r="C39" s="524"/>
      <c r="D39" s="834"/>
      <c r="E39" s="835"/>
      <c r="F39" s="835"/>
      <c r="G39" s="836"/>
      <c r="H39" s="837"/>
      <c r="I39" s="872"/>
      <c r="J39" s="838"/>
      <c r="K39" s="525"/>
      <c r="L39" s="520"/>
      <c r="M39" s="515"/>
      <c r="N39" s="515"/>
      <c r="O39" s="516"/>
      <c r="P39" s="517"/>
      <c r="Q39" s="518"/>
      <c r="R39" s="525"/>
      <c r="S39" s="520"/>
      <c r="T39" s="515"/>
      <c r="U39" s="515"/>
      <c r="V39" s="516"/>
      <c r="W39" s="517"/>
      <c r="X39" s="518"/>
    </row>
    <row r="40" spans="1:24" s="521" customFormat="1" x14ac:dyDescent="0.2">
      <c r="A40" s="522">
        <f t="shared" si="0"/>
        <v>6</v>
      </c>
      <c r="B40" s="833"/>
      <c r="C40" s="524"/>
      <c r="D40" s="834"/>
      <c r="E40" s="835"/>
      <c r="F40" s="835"/>
      <c r="G40" s="836"/>
      <c r="H40" s="837"/>
      <c r="I40" s="872"/>
      <c r="J40" s="838"/>
      <c r="K40" s="525"/>
      <c r="L40" s="520"/>
      <c r="M40" s="515"/>
      <c r="N40" s="515"/>
      <c r="O40" s="516"/>
      <c r="P40" s="517"/>
      <c r="Q40" s="518"/>
      <c r="R40" s="525"/>
      <c r="S40" s="520"/>
      <c r="T40" s="515"/>
      <c r="U40" s="515"/>
      <c r="V40" s="516"/>
      <c r="W40" s="517"/>
      <c r="X40" s="518"/>
    </row>
    <row r="41" spans="1:24" s="521" customFormat="1" x14ac:dyDescent="0.2">
      <c r="A41" s="522">
        <f t="shared" si="0"/>
        <v>5</v>
      </c>
      <c r="B41" s="833"/>
      <c r="C41" s="524"/>
      <c r="D41" s="834"/>
      <c r="E41" s="835"/>
      <c r="F41" s="835"/>
      <c r="G41" s="836"/>
      <c r="H41" s="837"/>
      <c r="I41" s="872"/>
      <c r="J41" s="838"/>
      <c r="K41" s="525"/>
      <c r="L41" s="520"/>
      <c r="M41" s="515"/>
      <c r="N41" s="515"/>
      <c r="O41" s="516"/>
      <c r="P41" s="517"/>
      <c r="Q41" s="518"/>
      <c r="R41" s="525"/>
      <c r="S41" s="520"/>
      <c r="T41" s="515"/>
      <c r="U41" s="515"/>
      <c r="V41" s="516"/>
      <c r="W41" s="517"/>
      <c r="X41" s="518"/>
    </row>
    <row r="42" spans="1:24" s="521" customFormat="1" x14ac:dyDescent="0.2">
      <c r="A42" s="522">
        <f t="shared" si="0"/>
        <v>4</v>
      </c>
      <c r="B42" s="833"/>
      <c r="C42" s="524"/>
      <c r="D42" s="834"/>
      <c r="E42" s="835"/>
      <c r="F42" s="835"/>
      <c r="G42" s="836"/>
      <c r="H42" s="837"/>
      <c r="I42" s="872"/>
      <c r="J42" s="838"/>
      <c r="K42" s="525"/>
      <c r="L42" s="520"/>
      <c r="M42" s="515"/>
      <c r="N42" s="515"/>
      <c r="O42" s="516"/>
      <c r="P42" s="517"/>
      <c r="Q42" s="518"/>
      <c r="R42" s="525"/>
      <c r="S42" s="520"/>
      <c r="T42" s="515"/>
      <c r="U42" s="515"/>
      <c r="V42" s="516"/>
      <c r="W42" s="517"/>
      <c r="X42" s="518"/>
    </row>
    <row r="43" spans="1:24" s="521" customFormat="1" x14ac:dyDescent="0.2">
      <c r="A43" s="522">
        <f t="shared" si="0"/>
        <v>3</v>
      </c>
      <c r="B43" s="833"/>
      <c r="C43" s="524"/>
      <c r="D43" s="834"/>
      <c r="E43" s="835"/>
      <c r="F43" s="835"/>
      <c r="G43" s="836"/>
      <c r="H43" s="837"/>
      <c r="I43" s="872"/>
      <c r="J43" s="838"/>
      <c r="K43" s="525"/>
      <c r="L43" s="520"/>
      <c r="M43" s="515"/>
      <c r="N43" s="515"/>
      <c r="O43" s="516"/>
      <c r="P43" s="517"/>
      <c r="Q43" s="518"/>
      <c r="R43" s="525"/>
      <c r="S43" s="520"/>
      <c r="T43" s="515"/>
      <c r="U43" s="515"/>
      <c r="V43" s="516"/>
      <c r="W43" s="517"/>
      <c r="X43" s="518"/>
    </row>
    <row r="44" spans="1:24" s="499" customFormat="1" x14ac:dyDescent="0.2">
      <c r="A44" s="522">
        <f t="shared" si="0"/>
        <v>2</v>
      </c>
      <c r="B44" s="833"/>
      <c r="C44" s="524"/>
      <c r="D44" s="834"/>
      <c r="E44" s="839"/>
      <c r="F44" s="835"/>
      <c r="G44" s="836"/>
      <c r="H44" s="837"/>
      <c r="I44" s="872"/>
      <c r="J44" s="840"/>
      <c r="K44" s="525"/>
      <c r="L44" s="514"/>
      <c r="M44" s="526"/>
      <c r="N44" s="515"/>
      <c r="O44" s="516"/>
      <c r="P44" s="517"/>
      <c r="Q44" s="527"/>
      <c r="R44" s="525"/>
      <c r="S44" s="514"/>
      <c r="T44" s="526"/>
      <c r="U44" s="515"/>
      <c r="V44" s="516"/>
      <c r="W44" s="517"/>
      <c r="X44" s="527"/>
    </row>
    <row r="45" spans="1:24" s="499" customFormat="1" x14ac:dyDescent="0.2">
      <c r="A45" s="522">
        <f t="shared" si="0"/>
        <v>1</v>
      </c>
      <c r="B45" s="833"/>
      <c r="C45" s="524"/>
      <c r="D45" s="834"/>
      <c r="E45" s="839"/>
      <c r="F45" s="835"/>
      <c r="G45" s="836"/>
      <c r="H45" s="837"/>
      <c r="I45" s="872"/>
      <c r="J45" s="840"/>
      <c r="K45" s="525"/>
      <c r="L45" s="514"/>
      <c r="M45" s="526"/>
      <c r="N45" s="515"/>
      <c r="O45" s="516"/>
      <c r="P45" s="517"/>
      <c r="Q45" s="527"/>
      <c r="R45" s="525"/>
      <c r="S45" s="514"/>
      <c r="T45" s="526"/>
      <c r="U45" s="515"/>
      <c r="V45" s="516"/>
      <c r="W45" s="517"/>
      <c r="X45" s="527"/>
    </row>
    <row r="46" spans="1:24" s="499" customFormat="1" x14ac:dyDescent="0.2">
      <c r="A46" s="522">
        <f t="shared" si="0"/>
        <v>0</v>
      </c>
      <c r="B46" s="833"/>
      <c r="C46" s="524"/>
      <c r="D46" s="834"/>
      <c r="E46" s="839"/>
      <c r="F46" s="835"/>
      <c r="G46" s="836"/>
      <c r="H46" s="837"/>
      <c r="I46" s="872"/>
      <c r="J46" s="840"/>
      <c r="K46" s="525"/>
      <c r="L46" s="514"/>
      <c r="M46" s="526"/>
      <c r="N46" s="515"/>
      <c r="O46" s="516"/>
      <c r="P46" s="517"/>
      <c r="Q46" s="527"/>
      <c r="R46" s="525"/>
      <c r="S46" s="514"/>
      <c r="T46" s="526"/>
      <c r="U46" s="515"/>
      <c r="V46" s="516"/>
      <c r="W46" s="517"/>
      <c r="X46" s="527"/>
    </row>
    <row r="47" spans="1:24" s="499" customFormat="1" x14ac:dyDescent="0.2">
      <c r="A47" s="522">
        <f t="shared" si="0"/>
        <v>-1</v>
      </c>
      <c r="B47" s="833" t="s">
        <v>657</v>
      </c>
      <c r="C47" s="524"/>
      <c r="D47" s="834" t="s">
        <v>657</v>
      </c>
      <c r="E47" s="839" t="s">
        <v>657</v>
      </c>
      <c r="F47" s="835" t="s">
        <v>657</v>
      </c>
      <c r="G47" s="836" t="s">
        <v>657</v>
      </c>
      <c r="H47" s="837" t="s">
        <v>657</v>
      </c>
      <c r="I47" s="872"/>
      <c r="J47" s="840" t="s">
        <v>657</v>
      </c>
      <c r="K47" s="525"/>
      <c r="L47" s="514" t="s">
        <v>657</v>
      </c>
      <c r="M47" s="526" t="s">
        <v>657</v>
      </c>
      <c r="N47" s="515" t="s">
        <v>657</v>
      </c>
      <c r="O47" s="516" t="s">
        <v>657</v>
      </c>
      <c r="P47" s="517" t="s">
        <v>657</v>
      </c>
      <c r="Q47" s="527" t="s">
        <v>657</v>
      </c>
      <c r="R47" s="525"/>
      <c r="S47" s="514" t="s">
        <v>657</v>
      </c>
      <c r="T47" s="526" t="s">
        <v>657</v>
      </c>
      <c r="U47" s="515" t="s">
        <v>657</v>
      </c>
      <c r="V47" s="516" t="s">
        <v>657</v>
      </c>
      <c r="W47" s="517" t="s">
        <v>657</v>
      </c>
      <c r="X47" s="527" t="s">
        <v>657</v>
      </c>
    </row>
    <row r="48" spans="1:24" s="499" customFormat="1" x14ac:dyDescent="0.2">
      <c r="A48" s="522">
        <f t="shared" si="0"/>
        <v>-2</v>
      </c>
      <c r="B48" s="833" t="s">
        <v>657</v>
      </c>
      <c r="C48" s="524"/>
      <c r="D48" s="834" t="s">
        <v>657</v>
      </c>
      <c r="E48" s="839" t="s">
        <v>657</v>
      </c>
      <c r="F48" s="835" t="s">
        <v>657</v>
      </c>
      <c r="G48" s="836" t="s">
        <v>657</v>
      </c>
      <c r="H48" s="837" t="s">
        <v>657</v>
      </c>
      <c r="I48" s="872"/>
      <c r="J48" s="840" t="s">
        <v>657</v>
      </c>
      <c r="K48" s="525"/>
      <c r="L48" s="514" t="s">
        <v>657</v>
      </c>
      <c r="M48" s="526" t="s">
        <v>657</v>
      </c>
      <c r="N48" s="515" t="s">
        <v>657</v>
      </c>
      <c r="O48" s="516" t="s">
        <v>657</v>
      </c>
      <c r="P48" s="517" t="s">
        <v>657</v>
      </c>
      <c r="Q48" s="527" t="s">
        <v>657</v>
      </c>
      <c r="R48" s="525"/>
      <c r="S48" s="514" t="s">
        <v>657</v>
      </c>
      <c r="T48" s="526" t="s">
        <v>657</v>
      </c>
      <c r="U48" s="515" t="s">
        <v>657</v>
      </c>
      <c r="V48" s="516" t="s">
        <v>657</v>
      </c>
      <c r="W48" s="517" t="s">
        <v>657</v>
      </c>
      <c r="X48" s="527" t="s">
        <v>657</v>
      </c>
    </row>
    <row r="49" spans="1:24" s="499" customFormat="1" x14ac:dyDescent="0.2">
      <c r="A49" s="522">
        <f t="shared" si="0"/>
        <v>-3</v>
      </c>
      <c r="B49" s="833" t="s">
        <v>657</v>
      </c>
      <c r="C49" s="524"/>
      <c r="D49" s="834" t="s">
        <v>657</v>
      </c>
      <c r="E49" s="839" t="s">
        <v>657</v>
      </c>
      <c r="F49" s="835" t="s">
        <v>657</v>
      </c>
      <c r="G49" s="836" t="s">
        <v>657</v>
      </c>
      <c r="H49" s="837" t="s">
        <v>657</v>
      </c>
      <c r="I49" s="872"/>
      <c r="J49" s="840" t="s">
        <v>657</v>
      </c>
      <c r="K49" s="525"/>
      <c r="L49" s="514" t="s">
        <v>657</v>
      </c>
      <c r="M49" s="526" t="s">
        <v>657</v>
      </c>
      <c r="N49" s="515" t="s">
        <v>657</v>
      </c>
      <c r="O49" s="516" t="s">
        <v>657</v>
      </c>
      <c r="P49" s="517" t="s">
        <v>657</v>
      </c>
      <c r="Q49" s="527" t="s">
        <v>657</v>
      </c>
      <c r="R49" s="525"/>
      <c r="S49" s="514" t="s">
        <v>657</v>
      </c>
      <c r="T49" s="526" t="s">
        <v>657</v>
      </c>
      <c r="U49" s="515" t="s">
        <v>657</v>
      </c>
      <c r="V49" s="516" t="s">
        <v>657</v>
      </c>
      <c r="W49" s="517" t="s">
        <v>657</v>
      </c>
      <c r="X49" s="527" t="s">
        <v>657</v>
      </c>
    </row>
    <row r="50" spans="1:24" s="499" customFormat="1" x14ac:dyDescent="0.2">
      <c r="A50" s="522">
        <f t="shared" si="0"/>
        <v>-4</v>
      </c>
      <c r="B50" s="833" t="s">
        <v>657</v>
      </c>
      <c r="C50" s="524"/>
      <c r="D50" s="834" t="s">
        <v>657</v>
      </c>
      <c r="E50" s="839" t="s">
        <v>657</v>
      </c>
      <c r="F50" s="839" t="s">
        <v>657</v>
      </c>
      <c r="G50" s="836" t="s">
        <v>657</v>
      </c>
      <c r="H50" s="837" t="s">
        <v>657</v>
      </c>
      <c r="I50" s="872"/>
      <c r="J50" s="840" t="s">
        <v>657</v>
      </c>
      <c r="K50" s="525"/>
      <c r="L50" s="528" t="s">
        <v>657</v>
      </c>
      <c r="M50" s="526" t="s">
        <v>657</v>
      </c>
      <c r="N50" s="526" t="s">
        <v>657</v>
      </c>
      <c r="O50" s="516" t="s">
        <v>657</v>
      </c>
      <c r="P50" s="517" t="s">
        <v>657</v>
      </c>
      <c r="Q50" s="527" t="s">
        <v>657</v>
      </c>
      <c r="R50" s="525"/>
      <c r="S50" s="528" t="s">
        <v>657</v>
      </c>
      <c r="T50" s="526" t="s">
        <v>657</v>
      </c>
      <c r="U50" s="526" t="s">
        <v>657</v>
      </c>
      <c r="V50" s="516" t="s">
        <v>657</v>
      </c>
      <c r="W50" s="517" t="s">
        <v>657</v>
      </c>
      <c r="X50" s="527" t="s">
        <v>657</v>
      </c>
    </row>
    <row r="51" spans="1:24" s="499" customFormat="1" x14ac:dyDescent="0.2">
      <c r="A51" s="522">
        <f t="shared" si="0"/>
        <v>-5</v>
      </c>
      <c r="B51" s="833" t="s">
        <v>657</v>
      </c>
      <c r="C51" s="524"/>
      <c r="D51" s="841" t="s">
        <v>657</v>
      </c>
      <c r="E51" s="839" t="s">
        <v>657</v>
      </c>
      <c r="F51" s="839" t="s">
        <v>657</v>
      </c>
      <c r="G51" s="836" t="s">
        <v>657</v>
      </c>
      <c r="H51" s="837" t="s">
        <v>657</v>
      </c>
      <c r="I51" s="872"/>
      <c r="J51" s="840" t="s">
        <v>657</v>
      </c>
      <c r="K51" s="525"/>
      <c r="L51" s="520" t="s">
        <v>657</v>
      </c>
      <c r="M51" s="526" t="s">
        <v>657</v>
      </c>
      <c r="N51" s="526" t="s">
        <v>657</v>
      </c>
      <c r="O51" s="516" t="s">
        <v>657</v>
      </c>
      <c r="P51" s="517" t="s">
        <v>657</v>
      </c>
      <c r="Q51" s="527" t="s">
        <v>657</v>
      </c>
      <c r="R51" s="525"/>
      <c r="S51" s="520" t="s">
        <v>657</v>
      </c>
      <c r="T51" s="526" t="s">
        <v>657</v>
      </c>
      <c r="U51" s="526" t="s">
        <v>657</v>
      </c>
      <c r="V51" s="516" t="s">
        <v>657</v>
      </c>
      <c r="W51" s="517" t="s">
        <v>657</v>
      </c>
      <c r="X51" s="527" t="s">
        <v>657</v>
      </c>
    </row>
    <row r="52" spans="1:24" s="499" customFormat="1" x14ac:dyDescent="0.2">
      <c r="A52" s="522">
        <f t="shared" si="0"/>
        <v>-6</v>
      </c>
      <c r="B52" s="833" t="s">
        <v>657</v>
      </c>
      <c r="C52" s="524"/>
      <c r="D52" s="841" t="s">
        <v>657</v>
      </c>
      <c r="E52" s="839" t="s">
        <v>657</v>
      </c>
      <c r="F52" s="839" t="s">
        <v>657</v>
      </c>
      <c r="G52" s="836" t="s">
        <v>657</v>
      </c>
      <c r="H52" s="837" t="s">
        <v>657</v>
      </c>
      <c r="I52" s="872"/>
      <c r="J52" s="840" t="s">
        <v>657</v>
      </c>
      <c r="K52" s="525"/>
      <c r="L52" s="520" t="s">
        <v>657</v>
      </c>
      <c r="M52" s="526" t="s">
        <v>657</v>
      </c>
      <c r="N52" s="526" t="s">
        <v>657</v>
      </c>
      <c r="O52" s="516" t="s">
        <v>657</v>
      </c>
      <c r="P52" s="517" t="s">
        <v>657</v>
      </c>
      <c r="Q52" s="527" t="s">
        <v>657</v>
      </c>
      <c r="R52" s="525"/>
      <c r="S52" s="520" t="s">
        <v>657</v>
      </c>
      <c r="T52" s="526" t="s">
        <v>657</v>
      </c>
      <c r="U52" s="526" t="s">
        <v>657</v>
      </c>
      <c r="V52" s="516" t="s">
        <v>657</v>
      </c>
      <c r="W52" s="517" t="s">
        <v>657</v>
      </c>
      <c r="X52" s="527" t="s">
        <v>657</v>
      </c>
    </row>
    <row r="53" spans="1:24" s="499" customFormat="1" x14ac:dyDescent="0.2">
      <c r="A53" s="522">
        <f t="shared" si="0"/>
        <v>-7</v>
      </c>
      <c r="B53" s="833" t="s">
        <v>657</v>
      </c>
      <c r="C53" s="524"/>
      <c r="D53" s="841" t="s">
        <v>657</v>
      </c>
      <c r="E53" s="839" t="s">
        <v>657</v>
      </c>
      <c r="F53" s="839" t="s">
        <v>657</v>
      </c>
      <c r="G53" s="836" t="s">
        <v>657</v>
      </c>
      <c r="H53" s="837" t="s">
        <v>657</v>
      </c>
      <c r="I53" s="872"/>
      <c r="J53" s="840" t="s">
        <v>657</v>
      </c>
      <c r="K53" s="525"/>
      <c r="L53" s="520" t="s">
        <v>657</v>
      </c>
      <c r="M53" s="526" t="s">
        <v>657</v>
      </c>
      <c r="N53" s="526" t="s">
        <v>657</v>
      </c>
      <c r="O53" s="516" t="s">
        <v>657</v>
      </c>
      <c r="P53" s="517" t="s">
        <v>657</v>
      </c>
      <c r="Q53" s="527" t="s">
        <v>657</v>
      </c>
      <c r="R53" s="525"/>
      <c r="S53" s="520" t="s">
        <v>657</v>
      </c>
      <c r="T53" s="526" t="s">
        <v>657</v>
      </c>
      <c r="U53" s="526" t="s">
        <v>657</v>
      </c>
      <c r="V53" s="516" t="s">
        <v>657</v>
      </c>
      <c r="W53" s="517" t="s">
        <v>657</v>
      </c>
      <c r="X53" s="527" t="s">
        <v>657</v>
      </c>
    </row>
    <row r="54" spans="1:24" s="499" customFormat="1" x14ac:dyDescent="0.2">
      <c r="A54" s="522">
        <f t="shared" si="0"/>
        <v>-8</v>
      </c>
      <c r="B54" s="833" t="s">
        <v>657</v>
      </c>
      <c r="C54" s="524"/>
      <c r="D54" s="841" t="s">
        <v>657</v>
      </c>
      <c r="E54" s="839" t="s">
        <v>657</v>
      </c>
      <c r="F54" s="839" t="s">
        <v>657</v>
      </c>
      <c r="G54" s="836" t="s">
        <v>657</v>
      </c>
      <c r="H54" s="837" t="s">
        <v>657</v>
      </c>
      <c r="I54" s="872"/>
      <c r="J54" s="840" t="s">
        <v>657</v>
      </c>
      <c r="K54" s="525"/>
      <c r="L54" s="520" t="s">
        <v>657</v>
      </c>
      <c r="M54" s="526" t="s">
        <v>657</v>
      </c>
      <c r="N54" s="526" t="s">
        <v>657</v>
      </c>
      <c r="O54" s="516" t="s">
        <v>657</v>
      </c>
      <c r="P54" s="517" t="s">
        <v>657</v>
      </c>
      <c r="Q54" s="527" t="s">
        <v>657</v>
      </c>
      <c r="R54" s="525"/>
      <c r="S54" s="520" t="s">
        <v>657</v>
      </c>
      <c r="T54" s="526" t="s">
        <v>657</v>
      </c>
      <c r="U54" s="526" t="s">
        <v>657</v>
      </c>
      <c r="V54" s="516" t="s">
        <v>657</v>
      </c>
      <c r="W54" s="517" t="s">
        <v>657</v>
      </c>
      <c r="X54" s="527" t="s">
        <v>657</v>
      </c>
    </row>
    <row r="55" spans="1:24" s="499" customFormat="1" x14ac:dyDescent="0.2">
      <c r="A55" s="522">
        <f t="shared" si="0"/>
        <v>-9</v>
      </c>
      <c r="B55" s="833" t="s">
        <v>657</v>
      </c>
      <c r="C55" s="524"/>
      <c r="D55" s="841" t="s">
        <v>657</v>
      </c>
      <c r="E55" s="839" t="s">
        <v>657</v>
      </c>
      <c r="F55" s="839" t="s">
        <v>657</v>
      </c>
      <c r="G55" s="836" t="s">
        <v>657</v>
      </c>
      <c r="H55" s="837" t="s">
        <v>657</v>
      </c>
      <c r="I55" s="872"/>
      <c r="J55" s="840" t="s">
        <v>657</v>
      </c>
      <c r="K55" s="525"/>
      <c r="L55" s="520" t="s">
        <v>657</v>
      </c>
      <c r="M55" s="526" t="s">
        <v>657</v>
      </c>
      <c r="N55" s="526" t="s">
        <v>657</v>
      </c>
      <c r="O55" s="516" t="s">
        <v>657</v>
      </c>
      <c r="P55" s="517" t="s">
        <v>657</v>
      </c>
      <c r="Q55" s="527" t="s">
        <v>657</v>
      </c>
      <c r="R55" s="525"/>
      <c r="S55" s="520" t="s">
        <v>657</v>
      </c>
      <c r="T55" s="526" t="s">
        <v>657</v>
      </c>
      <c r="U55" s="526" t="s">
        <v>657</v>
      </c>
      <c r="V55" s="516" t="s">
        <v>657</v>
      </c>
      <c r="W55" s="517" t="s">
        <v>657</v>
      </c>
      <c r="X55" s="527" t="s">
        <v>657</v>
      </c>
    </row>
    <row r="56" spans="1:24" s="499" customFormat="1" x14ac:dyDescent="0.2">
      <c r="A56" s="522">
        <f t="shared" si="0"/>
        <v>-10</v>
      </c>
      <c r="B56" s="833" t="s">
        <v>657</v>
      </c>
      <c r="C56" s="524"/>
      <c r="D56" s="841" t="s">
        <v>657</v>
      </c>
      <c r="E56" s="839" t="s">
        <v>657</v>
      </c>
      <c r="F56" s="839" t="s">
        <v>657</v>
      </c>
      <c r="G56" s="836" t="s">
        <v>657</v>
      </c>
      <c r="H56" s="837" t="s">
        <v>657</v>
      </c>
      <c r="I56" s="872"/>
      <c r="J56" s="840" t="s">
        <v>657</v>
      </c>
      <c r="K56" s="525"/>
      <c r="L56" s="520" t="s">
        <v>657</v>
      </c>
      <c r="M56" s="526" t="s">
        <v>657</v>
      </c>
      <c r="N56" s="526" t="s">
        <v>657</v>
      </c>
      <c r="O56" s="516" t="s">
        <v>657</v>
      </c>
      <c r="P56" s="517" t="s">
        <v>657</v>
      </c>
      <c r="Q56" s="527" t="s">
        <v>657</v>
      </c>
      <c r="R56" s="525"/>
      <c r="S56" s="520" t="s">
        <v>657</v>
      </c>
      <c r="T56" s="526" t="s">
        <v>657</v>
      </c>
      <c r="U56" s="526" t="s">
        <v>657</v>
      </c>
      <c r="V56" s="516" t="s">
        <v>657</v>
      </c>
      <c r="W56" s="517" t="s">
        <v>657</v>
      </c>
      <c r="X56" s="527" t="s">
        <v>657</v>
      </c>
    </row>
    <row r="57" spans="1:24" s="499" customFormat="1" x14ac:dyDescent="0.2">
      <c r="A57" s="522">
        <f t="shared" si="0"/>
        <v>-11</v>
      </c>
      <c r="B57" s="833" t="s">
        <v>657</v>
      </c>
      <c r="C57" s="524"/>
      <c r="D57" s="841" t="s">
        <v>657</v>
      </c>
      <c r="E57" s="839" t="s">
        <v>657</v>
      </c>
      <c r="F57" s="839" t="s">
        <v>657</v>
      </c>
      <c r="G57" s="836" t="s">
        <v>657</v>
      </c>
      <c r="H57" s="837" t="s">
        <v>657</v>
      </c>
      <c r="I57" s="872"/>
      <c r="J57" s="840" t="s">
        <v>657</v>
      </c>
      <c r="K57" s="525"/>
      <c r="L57" s="520" t="s">
        <v>657</v>
      </c>
      <c r="M57" s="526" t="s">
        <v>657</v>
      </c>
      <c r="N57" s="526" t="s">
        <v>657</v>
      </c>
      <c r="O57" s="516" t="s">
        <v>657</v>
      </c>
      <c r="P57" s="517" t="s">
        <v>657</v>
      </c>
      <c r="Q57" s="527" t="s">
        <v>657</v>
      </c>
      <c r="R57" s="525"/>
      <c r="S57" s="520" t="s">
        <v>657</v>
      </c>
      <c r="T57" s="526" t="s">
        <v>657</v>
      </c>
      <c r="U57" s="526" t="s">
        <v>657</v>
      </c>
      <c r="V57" s="516" t="s">
        <v>657</v>
      </c>
      <c r="W57" s="517" t="s">
        <v>657</v>
      </c>
      <c r="X57" s="527" t="s">
        <v>657</v>
      </c>
    </row>
    <row r="58" spans="1:24" s="499" customFormat="1" x14ac:dyDescent="0.2">
      <c r="A58" s="522">
        <f t="shared" si="0"/>
        <v>-12</v>
      </c>
      <c r="B58" s="833" t="s">
        <v>657</v>
      </c>
      <c r="C58" s="524"/>
      <c r="D58" s="841" t="s">
        <v>657</v>
      </c>
      <c r="E58" s="839" t="s">
        <v>657</v>
      </c>
      <c r="F58" s="839" t="s">
        <v>657</v>
      </c>
      <c r="G58" s="836" t="s">
        <v>657</v>
      </c>
      <c r="H58" s="837" t="s">
        <v>657</v>
      </c>
      <c r="I58" s="872"/>
      <c r="J58" s="840" t="s">
        <v>657</v>
      </c>
      <c r="K58" s="525"/>
      <c r="L58" s="520" t="s">
        <v>657</v>
      </c>
      <c r="M58" s="526" t="s">
        <v>657</v>
      </c>
      <c r="N58" s="526" t="s">
        <v>657</v>
      </c>
      <c r="O58" s="516" t="s">
        <v>657</v>
      </c>
      <c r="P58" s="517" t="s">
        <v>657</v>
      </c>
      <c r="Q58" s="527" t="s">
        <v>657</v>
      </c>
      <c r="R58" s="525"/>
      <c r="S58" s="520" t="s">
        <v>657</v>
      </c>
      <c r="T58" s="526" t="s">
        <v>657</v>
      </c>
      <c r="U58" s="526" t="s">
        <v>657</v>
      </c>
      <c r="V58" s="516" t="s">
        <v>657</v>
      </c>
      <c r="W58" s="517" t="s">
        <v>657</v>
      </c>
      <c r="X58" s="527" t="s">
        <v>657</v>
      </c>
    </row>
    <row r="59" spans="1:24" s="499" customFormat="1" x14ac:dyDescent="0.2">
      <c r="A59" s="522">
        <f t="shared" si="0"/>
        <v>-13</v>
      </c>
      <c r="B59" s="833" t="s">
        <v>657</v>
      </c>
      <c r="C59" s="524"/>
      <c r="D59" s="841" t="s">
        <v>657</v>
      </c>
      <c r="E59" s="839" t="s">
        <v>657</v>
      </c>
      <c r="F59" s="839" t="s">
        <v>657</v>
      </c>
      <c r="G59" s="836" t="s">
        <v>657</v>
      </c>
      <c r="H59" s="837" t="s">
        <v>657</v>
      </c>
      <c r="I59" s="872"/>
      <c r="J59" s="840" t="s">
        <v>657</v>
      </c>
      <c r="K59" s="525"/>
      <c r="L59" s="520" t="s">
        <v>657</v>
      </c>
      <c r="M59" s="526" t="s">
        <v>657</v>
      </c>
      <c r="N59" s="526" t="s">
        <v>657</v>
      </c>
      <c r="O59" s="516" t="s">
        <v>657</v>
      </c>
      <c r="P59" s="517" t="s">
        <v>657</v>
      </c>
      <c r="Q59" s="527" t="s">
        <v>657</v>
      </c>
      <c r="R59" s="525"/>
      <c r="S59" s="520" t="s">
        <v>657</v>
      </c>
      <c r="T59" s="526" t="s">
        <v>657</v>
      </c>
      <c r="U59" s="526" t="s">
        <v>657</v>
      </c>
      <c r="V59" s="516" t="s">
        <v>657</v>
      </c>
      <c r="W59" s="517" t="s">
        <v>657</v>
      </c>
      <c r="X59" s="527" t="s">
        <v>657</v>
      </c>
    </row>
    <row r="60" spans="1:24" s="499" customFormat="1" x14ac:dyDescent="0.2">
      <c r="A60" s="522">
        <f t="shared" si="0"/>
        <v>-14</v>
      </c>
      <c r="B60" s="833" t="s">
        <v>657</v>
      </c>
      <c r="C60" s="524"/>
      <c r="D60" s="841" t="s">
        <v>657</v>
      </c>
      <c r="E60" s="839" t="s">
        <v>657</v>
      </c>
      <c r="F60" s="839" t="s">
        <v>657</v>
      </c>
      <c r="G60" s="836" t="s">
        <v>657</v>
      </c>
      <c r="H60" s="837" t="s">
        <v>657</v>
      </c>
      <c r="I60" s="872"/>
      <c r="J60" s="840" t="s">
        <v>657</v>
      </c>
      <c r="K60" s="525"/>
      <c r="L60" s="520" t="s">
        <v>657</v>
      </c>
      <c r="M60" s="526" t="s">
        <v>657</v>
      </c>
      <c r="N60" s="526" t="s">
        <v>657</v>
      </c>
      <c r="O60" s="516" t="s">
        <v>657</v>
      </c>
      <c r="P60" s="517" t="s">
        <v>657</v>
      </c>
      <c r="Q60" s="527" t="s">
        <v>657</v>
      </c>
      <c r="R60" s="525"/>
      <c r="S60" s="520" t="s">
        <v>657</v>
      </c>
      <c r="T60" s="526" t="s">
        <v>657</v>
      </c>
      <c r="U60" s="526" t="s">
        <v>657</v>
      </c>
      <c r="V60" s="516" t="s">
        <v>657</v>
      </c>
      <c r="W60" s="517" t="s">
        <v>657</v>
      </c>
      <c r="X60" s="527" t="s">
        <v>657</v>
      </c>
    </row>
    <row r="61" spans="1:24" s="499" customFormat="1" x14ac:dyDescent="0.2">
      <c r="A61" s="522">
        <f t="shared" si="0"/>
        <v>-15</v>
      </c>
      <c r="B61" s="833" t="s">
        <v>657</v>
      </c>
      <c r="C61" s="524"/>
      <c r="D61" s="841" t="s">
        <v>657</v>
      </c>
      <c r="E61" s="839" t="s">
        <v>657</v>
      </c>
      <c r="F61" s="839" t="s">
        <v>657</v>
      </c>
      <c r="G61" s="836" t="s">
        <v>657</v>
      </c>
      <c r="H61" s="837" t="s">
        <v>657</v>
      </c>
      <c r="I61" s="872"/>
      <c r="J61" s="840" t="s">
        <v>657</v>
      </c>
      <c r="K61" s="525"/>
      <c r="L61" s="520" t="s">
        <v>657</v>
      </c>
      <c r="M61" s="526" t="s">
        <v>657</v>
      </c>
      <c r="N61" s="526" t="s">
        <v>657</v>
      </c>
      <c r="O61" s="516" t="s">
        <v>657</v>
      </c>
      <c r="P61" s="517" t="s">
        <v>657</v>
      </c>
      <c r="Q61" s="527" t="s">
        <v>657</v>
      </c>
      <c r="R61" s="525"/>
      <c r="S61" s="520" t="s">
        <v>657</v>
      </c>
      <c r="T61" s="526" t="s">
        <v>657</v>
      </c>
      <c r="U61" s="526" t="s">
        <v>657</v>
      </c>
      <c r="V61" s="516" t="s">
        <v>657</v>
      </c>
      <c r="W61" s="517" t="s">
        <v>657</v>
      </c>
      <c r="X61" s="527" t="s">
        <v>657</v>
      </c>
    </row>
    <row r="62" spans="1:24" s="499" customFormat="1" x14ac:dyDescent="0.2">
      <c r="A62" s="522">
        <f t="shared" si="0"/>
        <v>-16</v>
      </c>
      <c r="B62" s="833" t="s">
        <v>657</v>
      </c>
      <c r="C62" s="524"/>
      <c r="D62" s="841" t="s">
        <v>657</v>
      </c>
      <c r="E62" s="839" t="s">
        <v>657</v>
      </c>
      <c r="F62" s="839" t="s">
        <v>657</v>
      </c>
      <c r="G62" s="836" t="s">
        <v>657</v>
      </c>
      <c r="H62" s="837" t="s">
        <v>657</v>
      </c>
      <c r="I62" s="872"/>
      <c r="J62" s="840" t="s">
        <v>657</v>
      </c>
      <c r="K62" s="525"/>
      <c r="L62" s="520" t="s">
        <v>657</v>
      </c>
      <c r="M62" s="526" t="s">
        <v>657</v>
      </c>
      <c r="N62" s="526" t="s">
        <v>657</v>
      </c>
      <c r="O62" s="516" t="s">
        <v>657</v>
      </c>
      <c r="P62" s="517" t="s">
        <v>657</v>
      </c>
      <c r="Q62" s="527" t="s">
        <v>657</v>
      </c>
      <c r="R62" s="525"/>
      <c r="S62" s="520" t="s">
        <v>657</v>
      </c>
      <c r="T62" s="526" t="s">
        <v>657</v>
      </c>
      <c r="U62" s="526" t="s">
        <v>657</v>
      </c>
      <c r="V62" s="516" t="s">
        <v>657</v>
      </c>
      <c r="W62" s="517" t="s">
        <v>657</v>
      </c>
      <c r="X62" s="527" t="s">
        <v>657</v>
      </c>
    </row>
    <row r="63" spans="1:24" s="499" customFormat="1" x14ac:dyDescent="0.2">
      <c r="A63" s="522">
        <f t="shared" si="0"/>
        <v>-17</v>
      </c>
      <c r="B63" s="833" t="s">
        <v>657</v>
      </c>
      <c r="C63" s="524"/>
      <c r="D63" s="841" t="s">
        <v>657</v>
      </c>
      <c r="E63" s="839" t="s">
        <v>657</v>
      </c>
      <c r="F63" s="839" t="s">
        <v>657</v>
      </c>
      <c r="G63" s="836" t="s">
        <v>657</v>
      </c>
      <c r="H63" s="837" t="s">
        <v>657</v>
      </c>
      <c r="I63" s="872"/>
      <c r="J63" s="840" t="s">
        <v>657</v>
      </c>
      <c r="K63" s="525"/>
      <c r="L63" s="520" t="s">
        <v>657</v>
      </c>
      <c r="M63" s="526" t="s">
        <v>657</v>
      </c>
      <c r="N63" s="526" t="s">
        <v>657</v>
      </c>
      <c r="O63" s="516" t="s">
        <v>657</v>
      </c>
      <c r="P63" s="517" t="s">
        <v>657</v>
      </c>
      <c r="Q63" s="527" t="s">
        <v>657</v>
      </c>
      <c r="R63" s="525"/>
      <c r="S63" s="520" t="s">
        <v>657</v>
      </c>
      <c r="T63" s="526" t="s">
        <v>657</v>
      </c>
      <c r="U63" s="526" t="s">
        <v>657</v>
      </c>
      <c r="V63" s="516" t="s">
        <v>657</v>
      </c>
      <c r="W63" s="517" t="s">
        <v>657</v>
      </c>
      <c r="X63" s="527" t="s">
        <v>657</v>
      </c>
    </row>
    <row r="64" spans="1:24" s="499" customFormat="1" x14ac:dyDescent="0.2">
      <c r="A64" s="522">
        <f t="shared" si="0"/>
        <v>-18</v>
      </c>
      <c r="B64" s="833" t="s">
        <v>657</v>
      </c>
      <c r="C64" s="524"/>
      <c r="D64" s="841" t="s">
        <v>657</v>
      </c>
      <c r="E64" s="839" t="s">
        <v>657</v>
      </c>
      <c r="F64" s="839" t="s">
        <v>657</v>
      </c>
      <c r="G64" s="836" t="s">
        <v>657</v>
      </c>
      <c r="H64" s="837" t="s">
        <v>657</v>
      </c>
      <c r="I64" s="872"/>
      <c r="J64" s="840" t="s">
        <v>657</v>
      </c>
      <c r="K64" s="525"/>
      <c r="L64" s="520" t="s">
        <v>657</v>
      </c>
      <c r="M64" s="526" t="s">
        <v>657</v>
      </c>
      <c r="N64" s="526" t="s">
        <v>657</v>
      </c>
      <c r="O64" s="516" t="s">
        <v>657</v>
      </c>
      <c r="P64" s="517" t="s">
        <v>657</v>
      </c>
      <c r="Q64" s="527" t="s">
        <v>657</v>
      </c>
      <c r="R64" s="525"/>
      <c r="S64" s="520" t="s">
        <v>657</v>
      </c>
      <c r="T64" s="526" t="s">
        <v>657</v>
      </c>
      <c r="U64" s="526" t="s">
        <v>657</v>
      </c>
      <c r="V64" s="516" t="s">
        <v>657</v>
      </c>
      <c r="W64" s="517" t="s">
        <v>657</v>
      </c>
      <c r="X64" s="527" t="s">
        <v>657</v>
      </c>
    </row>
    <row r="65" spans="1:24" s="499" customFormat="1" x14ac:dyDescent="0.2">
      <c r="A65" s="522">
        <f t="shared" si="0"/>
        <v>-19</v>
      </c>
      <c r="B65" s="833" t="s">
        <v>657</v>
      </c>
      <c r="C65" s="524"/>
      <c r="D65" s="841" t="s">
        <v>657</v>
      </c>
      <c r="E65" s="839" t="s">
        <v>657</v>
      </c>
      <c r="F65" s="839" t="s">
        <v>657</v>
      </c>
      <c r="G65" s="836" t="s">
        <v>657</v>
      </c>
      <c r="H65" s="837" t="s">
        <v>657</v>
      </c>
      <c r="I65" s="872"/>
      <c r="J65" s="840" t="s">
        <v>657</v>
      </c>
      <c r="K65" s="525"/>
      <c r="L65" s="520" t="s">
        <v>657</v>
      </c>
      <c r="M65" s="526" t="s">
        <v>657</v>
      </c>
      <c r="N65" s="526" t="s">
        <v>657</v>
      </c>
      <c r="O65" s="516" t="s">
        <v>657</v>
      </c>
      <c r="P65" s="517" t="s">
        <v>657</v>
      </c>
      <c r="Q65" s="527" t="s">
        <v>657</v>
      </c>
      <c r="R65" s="525"/>
      <c r="S65" s="520" t="s">
        <v>657</v>
      </c>
      <c r="T65" s="526" t="s">
        <v>657</v>
      </c>
      <c r="U65" s="526" t="s">
        <v>657</v>
      </c>
      <c r="V65" s="516" t="s">
        <v>657</v>
      </c>
      <c r="W65" s="517" t="s">
        <v>657</v>
      </c>
      <c r="X65" s="527" t="s">
        <v>657</v>
      </c>
    </row>
    <row r="66" spans="1:24" s="499" customFormat="1" x14ac:dyDescent="0.2">
      <c r="A66" s="522">
        <f t="shared" si="0"/>
        <v>-20</v>
      </c>
      <c r="B66" s="833" t="s">
        <v>657</v>
      </c>
      <c r="C66" s="524"/>
      <c r="D66" s="841" t="s">
        <v>657</v>
      </c>
      <c r="E66" s="839" t="s">
        <v>657</v>
      </c>
      <c r="F66" s="839" t="s">
        <v>657</v>
      </c>
      <c r="G66" s="836" t="s">
        <v>657</v>
      </c>
      <c r="H66" s="837" t="s">
        <v>657</v>
      </c>
      <c r="I66" s="872"/>
      <c r="J66" s="840" t="s">
        <v>657</v>
      </c>
      <c r="K66" s="525"/>
      <c r="L66" s="520" t="s">
        <v>657</v>
      </c>
      <c r="M66" s="526" t="s">
        <v>657</v>
      </c>
      <c r="N66" s="526" t="s">
        <v>657</v>
      </c>
      <c r="O66" s="516" t="s">
        <v>657</v>
      </c>
      <c r="P66" s="517" t="s">
        <v>657</v>
      </c>
      <c r="Q66" s="527" t="s">
        <v>657</v>
      </c>
      <c r="R66" s="525"/>
      <c r="S66" s="520" t="s">
        <v>657</v>
      </c>
      <c r="T66" s="526" t="s">
        <v>657</v>
      </c>
      <c r="U66" s="526" t="s">
        <v>657</v>
      </c>
      <c r="V66" s="516" t="s">
        <v>657</v>
      </c>
      <c r="W66" s="517" t="s">
        <v>657</v>
      </c>
      <c r="X66" s="527" t="s">
        <v>657</v>
      </c>
    </row>
    <row r="67" spans="1:24" s="499" customFormat="1" x14ac:dyDescent="0.2">
      <c r="A67" s="522">
        <f t="shared" si="0"/>
        <v>-21</v>
      </c>
      <c r="B67" s="833" t="s">
        <v>657</v>
      </c>
      <c r="C67" s="524"/>
      <c r="D67" s="841" t="s">
        <v>657</v>
      </c>
      <c r="E67" s="839" t="s">
        <v>657</v>
      </c>
      <c r="F67" s="839" t="s">
        <v>657</v>
      </c>
      <c r="G67" s="836" t="s">
        <v>657</v>
      </c>
      <c r="H67" s="837" t="s">
        <v>657</v>
      </c>
      <c r="I67" s="872"/>
      <c r="J67" s="840" t="s">
        <v>657</v>
      </c>
      <c r="K67" s="525"/>
      <c r="L67" s="520" t="s">
        <v>657</v>
      </c>
      <c r="M67" s="526" t="s">
        <v>657</v>
      </c>
      <c r="N67" s="526" t="s">
        <v>657</v>
      </c>
      <c r="O67" s="516" t="s">
        <v>657</v>
      </c>
      <c r="P67" s="517" t="s">
        <v>657</v>
      </c>
      <c r="Q67" s="527" t="s">
        <v>657</v>
      </c>
      <c r="R67" s="525"/>
      <c r="S67" s="520" t="s">
        <v>657</v>
      </c>
      <c r="T67" s="526" t="s">
        <v>657</v>
      </c>
      <c r="U67" s="526" t="s">
        <v>657</v>
      </c>
      <c r="V67" s="516" t="s">
        <v>657</v>
      </c>
      <c r="W67" s="517" t="s">
        <v>657</v>
      </c>
      <c r="X67" s="527" t="s">
        <v>657</v>
      </c>
    </row>
    <row r="68" spans="1:24" s="499" customFormat="1" x14ac:dyDescent="0.2">
      <c r="A68" s="522">
        <f t="shared" si="0"/>
        <v>-22</v>
      </c>
      <c r="B68" s="833" t="s">
        <v>657</v>
      </c>
      <c r="C68" s="524"/>
      <c r="D68" s="841" t="s">
        <v>657</v>
      </c>
      <c r="E68" s="839" t="s">
        <v>657</v>
      </c>
      <c r="F68" s="839" t="s">
        <v>657</v>
      </c>
      <c r="G68" s="836" t="s">
        <v>657</v>
      </c>
      <c r="H68" s="837" t="s">
        <v>657</v>
      </c>
      <c r="I68" s="872"/>
      <c r="J68" s="840" t="s">
        <v>657</v>
      </c>
      <c r="K68" s="525"/>
      <c r="L68" s="520" t="s">
        <v>657</v>
      </c>
      <c r="M68" s="526" t="s">
        <v>657</v>
      </c>
      <c r="N68" s="526" t="s">
        <v>657</v>
      </c>
      <c r="O68" s="516" t="s">
        <v>657</v>
      </c>
      <c r="P68" s="517" t="s">
        <v>657</v>
      </c>
      <c r="Q68" s="527" t="s">
        <v>657</v>
      </c>
      <c r="R68" s="525"/>
      <c r="S68" s="520" t="s">
        <v>657</v>
      </c>
      <c r="T68" s="526" t="s">
        <v>657</v>
      </c>
      <c r="U68" s="526" t="s">
        <v>657</v>
      </c>
      <c r="V68" s="516" t="s">
        <v>657</v>
      </c>
      <c r="W68" s="517" t="s">
        <v>657</v>
      </c>
      <c r="X68" s="527" t="s">
        <v>657</v>
      </c>
    </row>
    <row r="69" spans="1:24" s="499" customFormat="1" x14ac:dyDescent="0.2">
      <c r="A69" s="522">
        <f t="shared" si="0"/>
        <v>-23</v>
      </c>
      <c r="B69" s="833" t="s">
        <v>657</v>
      </c>
      <c r="C69" s="524"/>
      <c r="D69" s="841" t="s">
        <v>657</v>
      </c>
      <c r="E69" s="839" t="s">
        <v>657</v>
      </c>
      <c r="F69" s="839" t="s">
        <v>657</v>
      </c>
      <c r="G69" s="836" t="s">
        <v>657</v>
      </c>
      <c r="H69" s="837" t="s">
        <v>657</v>
      </c>
      <c r="I69" s="872"/>
      <c r="J69" s="840" t="s">
        <v>657</v>
      </c>
      <c r="K69" s="525"/>
      <c r="L69" s="520" t="s">
        <v>657</v>
      </c>
      <c r="M69" s="526" t="s">
        <v>657</v>
      </c>
      <c r="N69" s="526" t="s">
        <v>657</v>
      </c>
      <c r="O69" s="516" t="s">
        <v>657</v>
      </c>
      <c r="P69" s="517" t="s">
        <v>657</v>
      </c>
      <c r="Q69" s="527" t="s">
        <v>657</v>
      </c>
      <c r="R69" s="525"/>
      <c r="S69" s="520" t="s">
        <v>657</v>
      </c>
      <c r="T69" s="526" t="s">
        <v>657</v>
      </c>
      <c r="U69" s="526" t="s">
        <v>657</v>
      </c>
      <c r="V69" s="516" t="s">
        <v>657</v>
      </c>
      <c r="W69" s="517" t="s">
        <v>657</v>
      </c>
      <c r="X69" s="527" t="s">
        <v>657</v>
      </c>
    </row>
    <row r="70" spans="1:24" s="499" customFormat="1" x14ac:dyDescent="0.2">
      <c r="A70" s="522">
        <f t="shared" si="0"/>
        <v>-24</v>
      </c>
      <c r="B70" s="833" t="s">
        <v>657</v>
      </c>
      <c r="C70" s="524"/>
      <c r="D70" s="834" t="s">
        <v>657</v>
      </c>
      <c r="E70" s="839" t="s">
        <v>657</v>
      </c>
      <c r="F70" s="839" t="s">
        <v>657</v>
      </c>
      <c r="G70" s="836" t="s">
        <v>657</v>
      </c>
      <c r="H70" s="837" t="s">
        <v>657</v>
      </c>
      <c r="I70" s="872"/>
      <c r="J70" s="840" t="s">
        <v>657</v>
      </c>
      <c r="K70" s="525"/>
      <c r="L70" s="514" t="s">
        <v>657</v>
      </c>
      <c r="M70" s="526" t="s">
        <v>657</v>
      </c>
      <c r="N70" s="526" t="s">
        <v>657</v>
      </c>
      <c r="O70" s="516" t="s">
        <v>657</v>
      </c>
      <c r="P70" s="517" t="s">
        <v>657</v>
      </c>
      <c r="Q70" s="527" t="s">
        <v>657</v>
      </c>
      <c r="R70" s="525"/>
      <c r="S70" s="514" t="s">
        <v>657</v>
      </c>
      <c r="T70" s="526" t="s">
        <v>657</v>
      </c>
      <c r="U70" s="526" t="s">
        <v>657</v>
      </c>
      <c r="V70" s="516" t="s">
        <v>657</v>
      </c>
      <c r="W70" s="517" t="s">
        <v>657</v>
      </c>
      <c r="X70" s="527" t="s">
        <v>657</v>
      </c>
    </row>
    <row r="71" spans="1:24" s="499" customFormat="1" x14ac:dyDescent="0.2">
      <c r="A71" s="522">
        <f t="shared" si="0"/>
        <v>-25</v>
      </c>
      <c r="B71" s="833" t="s">
        <v>657</v>
      </c>
      <c r="C71" s="524"/>
      <c r="D71" s="834" t="s">
        <v>657</v>
      </c>
      <c r="E71" s="839" t="s">
        <v>657</v>
      </c>
      <c r="F71" s="839" t="s">
        <v>657</v>
      </c>
      <c r="G71" s="836" t="s">
        <v>657</v>
      </c>
      <c r="H71" s="837" t="s">
        <v>657</v>
      </c>
      <c r="I71" s="872"/>
      <c r="J71" s="840" t="s">
        <v>657</v>
      </c>
      <c r="K71" s="525"/>
      <c r="L71" s="514" t="s">
        <v>657</v>
      </c>
      <c r="M71" s="526" t="s">
        <v>657</v>
      </c>
      <c r="N71" s="526" t="s">
        <v>657</v>
      </c>
      <c r="O71" s="516" t="s">
        <v>657</v>
      </c>
      <c r="P71" s="517" t="s">
        <v>657</v>
      </c>
      <c r="Q71" s="527" t="s">
        <v>657</v>
      </c>
      <c r="R71" s="525"/>
      <c r="S71" s="514" t="s">
        <v>657</v>
      </c>
      <c r="T71" s="526" t="s">
        <v>657</v>
      </c>
      <c r="U71" s="526" t="s">
        <v>657</v>
      </c>
      <c r="V71" s="516" t="s">
        <v>657</v>
      </c>
      <c r="W71" s="517" t="s">
        <v>657</v>
      </c>
      <c r="X71" s="527" t="s">
        <v>657</v>
      </c>
    </row>
    <row r="72" spans="1:24" s="499" customFormat="1" x14ac:dyDescent="0.2">
      <c r="A72" s="522">
        <f t="shared" si="0"/>
        <v>-26</v>
      </c>
      <c r="B72" s="833" t="s">
        <v>657</v>
      </c>
      <c r="C72" s="524"/>
      <c r="D72" s="834" t="s">
        <v>657</v>
      </c>
      <c r="E72" s="839" t="s">
        <v>657</v>
      </c>
      <c r="F72" s="839" t="s">
        <v>657</v>
      </c>
      <c r="G72" s="836" t="s">
        <v>657</v>
      </c>
      <c r="H72" s="837" t="s">
        <v>657</v>
      </c>
      <c r="I72" s="872"/>
      <c r="J72" s="840" t="s">
        <v>657</v>
      </c>
      <c r="K72" s="525"/>
      <c r="L72" s="514" t="s">
        <v>657</v>
      </c>
      <c r="M72" s="526" t="s">
        <v>657</v>
      </c>
      <c r="N72" s="526" t="s">
        <v>657</v>
      </c>
      <c r="O72" s="516" t="s">
        <v>657</v>
      </c>
      <c r="P72" s="517" t="s">
        <v>657</v>
      </c>
      <c r="Q72" s="527" t="s">
        <v>657</v>
      </c>
      <c r="R72" s="525"/>
      <c r="S72" s="514" t="s">
        <v>657</v>
      </c>
      <c r="T72" s="526" t="s">
        <v>657</v>
      </c>
      <c r="U72" s="526" t="s">
        <v>657</v>
      </c>
      <c r="V72" s="516" t="s">
        <v>657</v>
      </c>
      <c r="W72" s="517" t="s">
        <v>657</v>
      </c>
      <c r="X72" s="527" t="s">
        <v>657</v>
      </c>
    </row>
    <row r="73" spans="1:24" s="499" customFormat="1" x14ac:dyDescent="0.2">
      <c r="A73" s="522">
        <f t="shared" si="0"/>
        <v>-27</v>
      </c>
      <c r="B73" s="833" t="s">
        <v>657</v>
      </c>
      <c r="C73" s="524"/>
      <c r="D73" s="841" t="s">
        <v>657</v>
      </c>
      <c r="E73" s="839" t="s">
        <v>657</v>
      </c>
      <c r="F73" s="839" t="s">
        <v>657</v>
      </c>
      <c r="G73" s="836" t="s">
        <v>657</v>
      </c>
      <c r="H73" s="837" t="s">
        <v>657</v>
      </c>
      <c r="I73" s="872"/>
      <c r="J73" s="840" t="s">
        <v>657</v>
      </c>
      <c r="K73" s="525"/>
      <c r="L73" s="520" t="s">
        <v>657</v>
      </c>
      <c r="M73" s="526" t="s">
        <v>657</v>
      </c>
      <c r="N73" s="526" t="s">
        <v>657</v>
      </c>
      <c r="O73" s="516" t="s">
        <v>657</v>
      </c>
      <c r="P73" s="517" t="s">
        <v>657</v>
      </c>
      <c r="Q73" s="527" t="s">
        <v>657</v>
      </c>
      <c r="R73" s="525"/>
      <c r="S73" s="520" t="s">
        <v>657</v>
      </c>
      <c r="T73" s="526" t="s">
        <v>657</v>
      </c>
      <c r="U73" s="526" t="s">
        <v>657</v>
      </c>
      <c r="V73" s="516" t="s">
        <v>657</v>
      </c>
      <c r="W73" s="517" t="s">
        <v>657</v>
      </c>
      <c r="X73" s="527" t="s">
        <v>657</v>
      </c>
    </row>
    <row r="74" spans="1:24" s="499" customFormat="1" x14ac:dyDescent="0.2">
      <c r="A74" s="522">
        <f t="shared" si="0"/>
        <v>-28</v>
      </c>
      <c r="B74" s="833" t="s">
        <v>657</v>
      </c>
      <c r="C74" s="524"/>
      <c r="D74" s="841" t="s">
        <v>657</v>
      </c>
      <c r="E74" s="839" t="s">
        <v>657</v>
      </c>
      <c r="F74" s="839" t="s">
        <v>657</v>
      </c>
      <c r="G74" s="836" t="s">
        <v>657</v>
      </c>
      <c r="H74" s="837" t="s">
        <v>657</v>
      </c>
      <c r="I74" s="872"/>
      <c r="J74" s="840" t="s">
        <v>657</v>
      </c>
      <c r="K74" s="525"/>
      <c r="L74" s="520" t="s">
        <v>657</v>
      </c>
      <c r="M74" s="526" t="s">
        <v>657</v>
      </c>
      <c r="N74" s="526" t="s">
        <v>657</v>
      </c>
      <c r="O74" s="516" t="s">
        <v>657</v>
      </c>
      <c r="P74" s="517" t="s">
        <v>657</v>
      </c>
      <c r="Q74" s="527" t="s">
        <v>657</v>
      </c>
      <c r="R74" s="525"/>
      <c r="S74" s="520" t="s">
        <v>657</v>
      </c>
      <c r="T74" s="526" t="s">
        <v>657</v>
      </c>
      <c r="U74" s="526" t="s">
        <v>657</v>
      </c>
      <c r="V74" s="516" t="s">
        <v>657</v>
      </c>
      <c r="W74" s="517" t="s">
        <v>657</v>
      </c>
      <c r="X74" s="527" t="s">
        <v>657</v>
      </c>
    </row>
    <row r="75" spans="1:24" s="499" customFormat="1" x14ac:dyDescent="0.2">
      <c r="A75" s="522">
        <f t="shared" si="0"/>
        <v>-29</v>
      </c>
      <c r="B75" s="833" t="s">
        <v>657</v>
      </c>
      <c r="C75" s="524"/>
      <c r="D75" s="841" t="s">
        <v>657</v>
      </c>
      <c r="E75" s="839" t="s">
        <v>657</v>
      </c>
      <c r="F75" s="839" t="s">
        <v>657</v>
      </c>
      <c r="G75" s="836" t="s">
        <v>657</v>
      </c>
      <c r="H75" s="837" t="s">
        <v>657</v>
      </c>
      <c r="I75" s="872"/>
      <c r="J75" s="840" t="s">
        <v>657</v>
      </c>
      <c r="K75" s="525"/>
      <c r="L75" s="520" t="s">
        <v>657</v>
      </c>
      <c r="M75" s="526" t="s">
        <v>657</v>
      </c>
      <c r="N75" s="526" t="s">
        <v>657</v>
      </c>
      <c r="O75" s="516" t="s">
        <v>657</v>
      </c>
      <c r="P75" s="517" t="s">
        <v>657</v>
      </c>
      <c r="Q75" s="527" t="s">
        <v>657</v>
      </c>
      <c r="R75" s="525"/>
      <c r="S75" s="520" t="s">
        <v>657</v>
      </c>
      <c r="T75" s="526" t="s">
        <v>657</v>
      </c>
      <c r="U75" s="526" t="s">
        <v>657</v>
      </c>
      <c r="V75" s="516" t="s">
        <v>657</v>
      </c>
      <c r="W75" s="517" t="s">
        <v>657</v>
      </c>
      <c r="X75" s="527" t="s">
        <v>657</v>
      </c>
    </row>
    <row r="76" spans="1:24" s="499" customFormat="1" x14ac:dyDescent="0.2">
      <c r="A76" s="522">
        <f t="shared" si="0"/>
        <v>-30</v>
      </c>
      <c r="B76" s="833" t="s">
        <v>657</v>
      </c>
      <c r="C76" s="524"/>
      <c r="D76" s="841" t="s">
        <v>657</v>
      </c>
      <c r="E76" s="839" t="s">
        <v>657</v>
      </c>
      <c r="F76" s="839" t="s">
        <v>657</v>
      </c>
      <c r="G76" s="836" t="s">
        <v>657</v>
      </c>
      <c r="H76" s="837" t="s">
        <v>657</v>
      </c>
      <c r="I76" s="872"/>
      <c r="J76" s="840" t="s">
        <v>657</v>
      </c>
      <c r="K76" s="525"/>
      <c r="L76" s="520" t="s">
        <v>657</v>
      </c>
      <c r="M76" s="526" t="s">
        <v>657</v>
      </c>
      <c r="N76" s="526" t="s">
        <v>657</v>
      </c>
      <c r="O76" s="516" t="s">
        <v>657</v>
      </c>
      <c r="P76" s="517" t="s">
        <v>657</v>
      </c>
      <c r="Q76" s="527" t="s">
        <v>657</v>
      </c>
      <c r="R76" s="525"/>
      <c r="S76" s="520" t="s">
        <v>657</v>
      </c>
      <c r="T76" s="526" t="s">
        <v>657</v>
      </c>
      <c r="U76" s="526" t="s">
        <v>657</v>
      </c>
      <c r="V76" s="516" t="s">
        <v>657</v>
      </c>
      <c r="W76" s="517" t="s">
        <v>657</v>
      </c>
      <c r="X76" s="527" t="s">
        <v>657</v>
      </c>
    </row>
    <row r="77" spans="1:24" s="499" customFormat="1" x14ac:dyDescent="0.2">
      <c r="A77" s="522">
        <f t="shared" si="0"/>
        <v>-31</v>
      </c>
      <c r="B77" s="833" t="s">
        <v>657</v>
      </c>
      <c r="C77" s="524"/>
      <c r="D77" s="841" t="s">
        <v>657</v>
      </c>
      <c r="E77" s="839" t="s">
        <v>657</v>
      </c>
      <c r="F77" s="839" t="s">
        <v>657</v>
      </c>
      <c r="G77" s="836" t="s">
        <v>657</v>
      </c>
      <c r="H77" s="837" t="s">
        <v>657</v>
      </c>
      <c r="I77" s="872"/>
      <c r="J77" s="840" t="s">
        <v>657</v>
      </c>
      <c r="K77" s="525"/>
      <c r="L77" s="520" t="s">
        <v>657</v>
      </c>
      <c r="M77" s="526" t="s">
        <v>657</v>
      </c>
      <c r="N77" s="526" t="s">
        <v>657</v>
      </c>
      <c r="O77" s="516" t="s">
        <v>657</v>
      </c>
      <c r="P77" s="517" t="s">
        <v>657</v>
      </c>
      <c r="Q77" s="527" t="s">
        <v>657</v>
      </c>
      <c r="R77" s="525"/>
      <c r="S77" s="520" t="s">
        <v>657</v>
      </c>
      <c r="T77" s="526" t="s">
        <v>657</v>
      </c>
      <c r="U77" s="526" t="s">
        <v>657</v>
      </c>
      <c r="V77" s="516" t="s">
        <v>657</v>
      </c>
      <c r="W77" s="517" t="s">
        <v>657</v>
      </c>
      <c r="X77" s="527" t="s">
        <v>657</v>
      </c>
    </row>
    <row r="78" spans="1:24" s="499" customFormat="1" x14ac:dyDescent="0.2">
      <c r="A78" s="522">
        <f t="shared" si="0"/>
        <v>-32</v>
      </c>
      <c r="B78" s="833" t="s">
        <v>657</v>
      </c>
      <c r="C78" s="524"/>
      <c r="D78" s="841" t="s">
        <v>657</v>
      </c>
      <c r="E78" s="839" t="s">
        <v>657</v>
      </c>
      <c r="F78" s="839" t="s">
        <v>657</v>
      </c>
      <c r="G78" s="836" t="s">
        <v>657</v>
      </c>
      <c r="H78" s="837" t="s">
        <v>657</v>
      </c>
      <c r="I78" s="872"/>
      <c r="J78" s="840" t="s">
        <v>657</v>
      </c>
      <c r="K78" s="525"/>
      <c r="L78" s="520" t="s">
        <v>657</v>
      </c>
      <c r="M78" s="526" t="s">
        <v>657</v>
      </c>
      <c r="N78" s="526" t="s">
        <v>657</v>
      </c>
      <c r="O78" s="516" t="s">
        <v>657</v>
      </c>
      <c r="P78" s="517" t="s">
        <v>657</v>
      </c>
      <c r="Q78" s="527" t="s">
        <v>657</v>
      </c>
      <c r="R78" s="525"/>
      <c r="S78" s="520" t="s">
        <v>657</v>
      </c>
      <c r="T78" s="526" t="s">
        <v>657</v>
      </c>
      <c r="U78" s="526" t="s">
        <v>657</v>
      </c>
      <c r="V78" s="516" t="s">
        <v>657</v>
      </c>
      <c r="W78" s="517" t="s">
        <v>657</v>
      </c>
      <c r="X78" s="527" t="s">
        <v>657</v>
      </c>
    </row>
    <row r="79" spans="1:24" s="499" customFormat="1" x14ac:dyDescent="0.2">
      <c r="A79" s="522">
        <f t="shared" si="0"/>
        <v>-33</v>
      </c>
      <c r="B79" s="833" t="s">
        <v>657</v>
      </c>
      <c r="C79" s="524"/>
      <c r="D79" s="841" t="s">
        <v>657</v>
      </c>
      <c r="E79" s="839" t="s">
        <v>657</v>
      </c>
      <c r="F79" s="839" t="s">
        <v>657</v>
      </c>
      <c r="G79" s="836" t="s">
        <v>657</v>
      </c>
      <c r="H79" s="837" t="s">
        <v>657</v>
      </c>
      <c r="I79" s="872"/>
      <c r="J79" s="840" t="s">
        <v>657</v>
      </c>
      <c r="K79" s="525"/>
      <c r="L79" s="520" t="s">
        <v>657</v>
      </c>
      <c r="M79" s="526" t="s">
        <v>657</v>
      </c>
      <c r="N79" s="526" t="s">
        <v>657</v>
      </c>
      <c r="O79" s="516" t="s">
        <v>657</v>
      </c>
      <c r="P79" s="517" t="s">
        <v>657</v>
      </c>
      <c r="Q79" s="527" t="s">
        <v>657</v>
      </c>
      <c r="R79" s="525"/>
      <c r="S79" s="520" t="s">
        <v>657</v>
      </c>
      <c r="T79" s="526" t="s">
        <v>657</v>
      </c>
      <c r="U79" s="526" t="s">
        <v>657</v>
      </c>
      <c r="V79" s="516" t="s">
        <v>657</v>
      </c>
      <c r="W79" s="517" t="s">
        <v>657</v>
      </c>
      <c r="X79" s="527" t="s">
        <v>657</v>
      </c>
    </row>
    <row r="80" spans="1:24" s="499" customFormat="1" x14ac:dyDescent="0.2">
      <c r="A80" s="522">
        <f t="shared" si="0"/>
        <v>-34</v>
      </c>
      <c r="B80" s="833" t="s">
        <v>657</v>
      </c>
      <c r="C80" s="524"/>
      <c r="D80" s="841" t="s">
        <v>657</v>
      </c>
      <c r="E80" s="839" t="s">
        <v>657</v>
      </c>
      <c r="F80" s="839" t="s">
        <v>657</v>
      </c>
      <c r="G80" s="836" t="s">
        <v>657</v>
      </c>
      <c r="H80" s="837" t="s">
        <v>657</v>
      </c>
      <c r="I80" s="872"/>
      <c r="J80" s="840" t="s">
        <v>657</v>
      </c>
      <c r="K80" s="525"/>
      <c r="L80" s="520" t="s">
        <v>657</v>
      </c>
      <c r="M80" s="526" t="s">
        <v>657</v>
      </c>
      <c r="N80" s="526" t="s">
        <v>657</v>
      </c>
      <c r="O80" s="516" t="s">
        <v>657</v>
      </c>
      <c r="P80" s="517" t="s">
        <v>657</v>
      </c>
      <c r="Q80" s="527" t="s">
        <v>657</v>
      </c>
      <c r="R80" s="525"/>
      <c r="S80" s="520" t="s">
        <v>657</v>
      </c>
      <c r="T80" s="526" t="s">
        <v>657</v>
      </c>
      <c r="U80" s="526" t="s">
        <v>657</v>
      </c>
      <c r="V80" s="516" t="s">
        <v>657</v>
      </c>
      <c r="W80" s="517" t="s">
        <v>657</v>
      </c>
      <c r="X80" s="527" t="s">
        <v>657</v>
      </c>
    </row>
    <row r="81" spans="1:24" s="499" customFormat="1" x14ac:dyDescent="0.2">
      <c r="A81" s="522">
        <f t="shared" si="0"/>
        <v>-35</v>
      </c>
      <c r="B81" s="833" t="s">
        <v>657</v>
      </c>
      <c r="C81" s="524"/>
      <c r="D81" s="841" t="s">
        <v>657</v>
      </c>
      <c r="E81" s="839" t="s">
        <v>657</v>
      </c>
      <c r="F81" s="839" t="s">
        <v>657</v>
      </c>
      <c r="G81" s="836" t="s">
        <v>657</v>
      </c>
      <c r="H81" s="837" t="s">
        <v>657</v>
      </c>
      <c r="I81" s="872"/>
      <c r="J81" s="840" t="s">
        <v>657</v>
      </c>
      <c r="K81" s="525"/>
      <c r="L81" s="520" t="s">
        <v>657</v>
      </c>
      <c r="M81" s="526" t="s">
        <v>657</v>
      </c>
      <c r="N81" s="526" t="s">
        <v>657</v>
      </c>
      <c r="O81" s="516" t="s">
        <v>657</v>
      </c>
      <c r="P81" s="517" t="s">
        <v>657</v>
      </c>
      <c r="Q81" s="527" t="s">
        <v>657</v>
      </c>
      <c r="R81" s="525"/>
      <c r="S81" s="520" t="s">
        <v>657</v>
      </c>
      <c r="T81" s="526" t="s">
        <v>657</v>
      </c>
      <c r="U81" s="526" t="s">
        <v>657</v>
      </c>
      <c r="V81" s="516" t="s">
        <v>657</v>
      </c>
      <c r="W81" s="517" t="s">
        <v>657</v>
      </c>
      <c r="X81" s="527" t="s">
        <v>657</v>
      </c>
    </row>
    <row r="82" spans="1:24" s="499" customFormat="1" x14ac:dyDescent="0.2">
      <c r="A82" s="522">
        <f t="shared" si="0"/>
        <v>-36</v>
      </c>
      <c r="B82" s="833" t="s">
        <v>657</v>
      </c>
      <c r="C82" s="524"/>
      <c r="D82" s="841" t="s">
        <v>657</v>
      </c>
      <c r="E82" s="839" t="s">
        <v>657</v>
      </c>
      <c r="F82" s="839" t="s">
        <v>657</v>
      </c>
      <c r="G82" s="836" t="s">
        <v>657</v>
      </c>
      <c r="H82" s="837" t="s">
        <v>657</v>
      </c>
      <c r="I82" s="872"/>
      <c r="J82" s="840" t="s">
        <v>657</v>
      </c>
      <c r="K82" s="525"/>
      <c r="L82" s="520" t="s">
        <v>657</v>
      </c>
      <c r="M82" s="526" t="s">
        <v>657</v>
      </c>
      <c r="N82" s="526" t="s">
        <v>657</v>
      </c>
      <c r="O82" s="516" t="s">
        <v>657</v>
      </c>
      <c r="P82" s="517" t="s">
        <v>657</v>
      </c>
      <c r="Q82" s="527" t="s">
        <v>657</v>
      </c>
      <c r="R82" s="525"/>
      <c r="S82" s="520" t="s">
        <v>657</v>
      </c>
      <c r="T82" s="526" t="s">
        <v>657</v>
      </c>
      <c r="U82" s="526" t="s">
        <v>657</v>
      </c>
      <c r="V82" s="516" t="s">
        <v>657</v>
      </c>
      <c r="W82" s="517" t="s">
        <v>657</v>
      </c>
      <c r="X82" s="527" t="s">
        <v>657</v>
      </c>
    </row>
    <row r="83" spans="1:24" s="499" customFormat="1" x14ac:dyDescent="0.2">
      <c r="A83" s="522">
        <f t="shared" si="0"/>
        <v>-37</v>
      </c>
      <c r="B83" s="833" t="s">
        <v>657</v>
      </c>
      <c r="C83" s="524"/>
      <c r="D83" s="841" t="s">
        <v>657</v>
      </c>
      <c r="E83" s="839" t="s">
        <v>657</v>
      </c>
      <c r="F83" s="839" t="s">
        <v>657</v>
      </c>
      <c r="G83" s="836" t="s">
        <v>657</v>
      </c>
      <c r="H83" s="837" t="s">
        <v>657</v>
      </c>
      <c r="I83" s="872"/>
      <c r="J83" s="840" t="s">
        <v>657</v>
      </c>
      <c r="K83" s="525"/>
      <c r="L83" s="520" t="s">
        <v>657</v>
      </c>
      <c r="M83" s="526" t="s">
        <v>657</v>
      </c>
      <c r="N83" s="526" t="s">
        <v>657</v>
      </c>
      <c r="O83" s="516" t="s">
        <v>657</v>
      </c>
      <c r="P83" s="517" t="s">
        <v>657</v>
      </c>
      <c r="Q83" s="527" t="s">
        <v>657</v>
      </c>
      <c r="R83" s="525"/>
      <c r="S83" s="520" t="s">
        <v>657</v>
      </c>
      <c r="T83" s="526" t="s">
        <v>657</v>
      </c>
      <c r="U83" s="526" t="s">
        <v>657</v>
      </c>
      <c r="V83" s="516" t="s">
        <v>657</v>
      </c>
      <c r="W83" s="517" t="s">
        <v>657</v>
      </c>
      <c r="X83" s="527" t="s">
        <v>657</v>
      </c>
    </row>
    <row r="84" spans="1:24" s="499" customFormat="1" x14ac:dyDescent="0.2">
      <c r="A84" s="522">
        <f t="shared" si="0"/>
        <v>-38</v>
      </c>
      <c r="B84" s="833" t="s">
        <v>657</v>
      </c>
      <c r="C84" s="524"/>
      <c r="D84" s="841" t="s">
        <v>657</v>
      </c>
      <c r="E84" s="839" t="s">
        <v>657</v>
      </c>
      <c r="F84" s="839" t="s">
        <v>657</v>
      </c>
      <c r="G84" s="836" t="s">
        <v>657</v>
      </c>
      <c r="H84" s="837" t="s">
        <v>657</v>
      </c>
      <c r="I84" s="872"/>
      <c r="J84" s="840" t="s">
        <v>657</v>
      </c>
      <c r="K84" s="525"/>
      <c r="L84" s="520" t="s">
        <v>657</v>
      </c>
      <c r="M84" s="526" t="s">
        <v>657</v>
      </c>
      <c r="N84" s="526" t="s">
        <v>657</v>
      </c>
      <c r="O84" s="516" t="s">
        <v>657</v>
      </c>
      <c r="P84" s="517" t="s">
        <v>657</v>
      </c>
      <c r="Q84" s="527" t="s">
        <v>657</v>
      </c>
      <c r="R84" s="525"/>
      <c r="S84" s="520" t="s">
        <v>657</v>
      </c>
      <c r="T84" s="526" t="s">
        <v>657</v>
      </c>
      <c r="U84" s="526" t="s">
        <v>657</v>
      </c>
      <c r="V84" s="516" t="s">
        <v>657</v>
      </c>
      <c r="W84" s="517" t="s">
        <v>657</v>
      </c>
      <c r="X84" s="527" t="s">
        <v>657</v>
      </c>
    </row>
    <row r="85" spans="1:24" s="499" customFormat="1" x14ac:dyDescent="0.2">
      <c r="A85" s="522">
        <f t="shared" si="0"/>
        <v>-39</v>
      </c>
      <c r="B85" s="833" t="s">
        <v>657</v>
      </c>
      <c r="C85" s="524"/>
      <c r="D85" s="841" t="s">
        <v>657</v>
      </c>
      <c r="E85" s="839" t="s">
        <v>657</v>
      </c>
      <c r="F85" s="839" t="s">
        <v>657</v>
      </c>
      <c r="G85" s="836" t="s">
        <v>657</v>
      </c>
      <c r="H85" s="837" t="s">
        <v>657</v>
      </c>
      <c r="I85" s="872"/>
      <c r="J85" s="840" t="s">
        <v>657</v>
      </c>
      <c r="K85" s="525"/>
      <c r="L85" s="520" t="s">
        <v>657</v>
      </c>
      <c r="M85" s="526" t="s">
        <v>657</v>
      </c>
      <c r="N85" s="526" t="s">
        <v>657</v>
      </c>
      <c r="O85" s="516" t="s">
        <v>657</v>
      </c>
      <c r="P85" s="517" t="s">
        <v>657</v>
      </c>
      <c r="Q85" s="527" t="s">
        <v>657</v>
      </c>
      <c r="R85" s="525"/>
      <c r="S85" s="520" t="s">
        <v>657</v>
      </c>
      <c r="T85" s="526" t="s">
        <v>657</v>
      </c>
      <c r="U85" s="526" t="s">
        <v>657</v>
      </c>
      <c r="V85" s="516" t="s">
        <v>657</v>
      </c>
      <c r="W85" s="517" t="s">
        <v>657</v>
      </c>
      <c r="X85" s="527" t="s">
        <v>657</v>
      </c>
    </row>
    <row r="86" spans="1:24" s="499" customFormat="1" x14ac:dyDescent="0.2">
      <c r="A86" s="522">
        <f t="shared" si="0"/>
        <v>-40</v>
      </c>
      <c r="B86" s="833" t="s">
        <v>657</v>
      </c>
      <c r="C86" s="524"/>
      <c r="D86" s="841" t="s">
        <v>657</v>
      </c>
      <c r="E86" s="839" t="s">
        <v>657</v>
      </c>
      <c r="F86" s="839" t="s">
        <v>657</v>
      </c>
      <c r="G86" s="836" t="s">
        <v>657</v>
      </c>
      <c r="H86" s="837" t="s">
        <v>657</v>
      </c>
      <c r="I86" s="872"/>
      <c r="J86" s="840" t="s">
        <v>657</v>
      </c>
      <c r="K86" s="525"/>
      <c r="L86" s="520" t="s">
        <v>657</v>
      </c>
      <c r="M86" s="526" t="s">
        <v>657</v>
      </c>
      <c r="N86" s="526" t="s">
        <v>657</v>
      </c>
      <c r="O86" s="516" t="s">
        <v>657</v>
      </c>
      <c r="P86" s="517" t="s">
        <v>657</v>
      </c>
      <c r="Q86" s="527" t="s">
        <v>657</v>
      </c>
      <c r="R86" s="525"/>
      <c r="S86" s="520" t="s">
        <v>657</v>
      </c>
      <c r="T86" s="526" t="s">
        <v>657</v>
      </c>
      <c r="U86" s="526" t="s">
        <v>657</v>
      </c>
      <c r="V86" s="516" t="s">
        <v>657</v>
      </c>
      <c r="W86" s="517" t="s">
        <v>657</v>
      </c>
      <c r="X86" s="527" t="s">
        <v>657</v>
      </c>
    </row>
    <row r="87" spans="1:24" s="499" customFormat="1" x14ac:dyDescent="0.2">
      <c r="A87" s="522">
        <f t="shared" si="0"/>
        <v>-41</v>
      </c>
      <c r="B87" s="833" t="s">
        <v>657</v>
      </c>
      <c r="C87" s="524"/>
      <c r="D87" s="841" t="s">
        <v>657</v>
      </c>
      <c r="E87" s="839" t="s">
        <v>657</v>
      </c>
      <c r="F87" s="839" t="s">
        <v>657</v>
      </c>
      <c r="G87" s="836" t="s">
        <v>657</v>
      </c>
      <c r="H87" s="837" t="s">
        <v>657</v>
      </c>
      <c r="I87" s="872"/>
      <c r="J87" s="840" t="s">
        <v>657</v>
      </c>
      <c r="K87" s="525"/>
      <c r="L87" s="520" t="s">
        <v>657</v>
      </c>
      <c r="M87" s="526" t="s">
        <v>657</v>
      </c>
      <c r="N87" s="526" t="s">
        <v>657</v>
      </c>
      <c r="O87" s="516" t="s">
        <v>657</v>
      </c>
      <c r="P87" s="517" t="s">
        <v>657</v>
      </c>
      <c r="Q87" s="527" t="s">
        <v>657</v>
      </c>
      <c r="R87" s="525"/>
      <c r="S87" s="520" t="s">
        <v>657</v>
      </c>
      <c r="T87" s="526" t="s">
        <v>657</v>
      </c>
      <c r="U87" s="526" t="s">
        <v>657</v>
      </c>
      <c r="V87" s="516" t="s">
        <v>657</v>
      </c>
      <c r="W87" s="517" t="s">
        <v>657</v>
      </c>
      <c r="X87" s="527" t="s">
        <v>657</v>
      </c>
    </row>
    <row r="88" spans="1:24" s="499" customFormat="1" x14ac:dyDescent="0.2">
      <c r="A88" s="522">
        <f t="shared" si="0"/>
        <v>-42</v>
      </c>
      <c r="B88" s="833" t="s">
        <v>657</v>
      </c>
      <c r="C88" s="524"/>
      <c r="D88" s="841" t="s">
        <v>657</v>
      </c>
      <c r="E88" s="839" t="s">
        <v>657</v>
      </c>
      <c r="F88" s="839" t="s">
        <v>657</v>
      </c>
      <c r="G88" s="836" t="s">
        <v>657</v>
      </c>
      <c r="H88" s="837" t="s">
        <v>657</v>
      </c>
      <c r="I88" s="872"/>
      <c r="J88" s="840" t="s">
        <v>657</v>
      </c>
      <c r="K88" s="525"/>
      <c r="L88" s="520" t="s">
        <v>657</v>
      </c>
      <c r="M88" s="526" t="s">
        <v>657</v>
      </c>
      <c r="N88" s="526" t="s">
        <v>657</v>
      </c>
      <c r="O88" s="516" t="s">
        <v>657</v>
      </c>
      <c r="P88" s="517" t="s">
        <v>657</v>
      </c>
      <c r="Q88" s="527" t="s">
        <v>657</v>
      </c>
      <c r="R88" s="525"/>
      <c r="S88" s="520" t="s">
        <v>657</v>
      </c>
      <c r="T88" s="526" t="s">
        <v>657</v>
      </c>
      <c r="U88" s="526" t="s">
        <v>657</v>
      </c>
      <c r="V88" s="516" t="s">
        <v>657</v>
      </c>
      <c r="W88" s="517" t="s">
        <v>657</v>
      </c>
      <c r="X88" s="527" t="s">
        <v>657</v>
      </c>
    </row>
    <row r="89" spans="1:24" s="499" customFormat="1" x14ac:dyDescent="0.2">
      <c r="A89" s="522">
        <f t="shared" si="0"/>
        <v>-43</v>
      </c>
      <c r="B89" s="833" t="s">
        <v>657</v>
      </c>
      <c r="C89" s="524"/>
      <c r="D89" s="841" t="s">
        <v>657</v>
      </c>
      <c r="E89" s="839" t="s">
        <v>657</v>
      </c>
      <c r="F89" s="839" t="s">
        <v>657</v>
      </c>
      <c r="G89" s="836" t="s">
        <v>657</v>
      </c>
      <c r="H89" s="837" t="s">
        <v>657</v>
      </c>
      <c r="I89" s="872"/>
      <c r="J89" s="840" t="s">
        <v>657</v>
      </c>
      <c r="K89" s="525"/>
      <c r="L89" s="520" t="s">
        <v>657</v>
      </c>
      <c r="M89" s="526" t="s">
        <v>657</v>
      </c>
      <c r="N89" s="526" t="s">
        <v>657</v>
      </c>
      <c r="O89" s="516" t="s">
        <v>657</v>
      </c>
      <c r="P89" s="517" t="s">
        <v>657</v>
      </c>
      <c r="Q89" s="527" t="s">
        <v>657</v>
      </c>
      <c r="R89" s="525"/>
      <c r="S89" s="520" t="s">
        <v>657</v>
      </c>
      <c r="T89" s="526" t="s">
        <v>657</v>
      </c>
      <c r="U89" s="526" t="s">
        <v>657</v>
      </c>
      <c r="V89" s="516" t="s">
        <v>657</v>
      </c>
      <c r="W89" s="517" t="s">
        <v>657</v>
      </c>
      <c r="X89" s="527" t="s">
        <v>657</v>
      </c>
    </row>
    <row r="90" spans="1:24" s="499" customFormat="1" x14ac:dyDescent="0.2">
      <c r="A90" s="522">
        <f t="shared" si="0"/>
        <v>-44</v>
      </c>
      <c r="B90" s="833" t="s">
        <v>657</v>
      </c>
      <c r="C90" s="524"/>
      <c r="D90" s="841" t="s">
        <v>657</v>
      </c>
      <c r="E90" s="839" t="s">
        <v>657</v>
      </c>
      <c r="F90" s="839" t="s">
        <v>657</v>
      </c>
      <c r="G90" s="836" t="s">
        <v>657</v>
      </c>
      <c r="H90" s="837" t="s">
        <v>657</v>
      </c>
      <c r="I90" s="872"/>
      <c r="J90" s="840" t="s">
        <v>657</v>
      </c>
      <c r="K90" s="525"/>
      <c r="L90" s="520" t="s">
        <v>657</v>
      </c>
      <c r="M90" s="526" t="s">
        <v>657</v>
      </c>
      <c r="N90" s="526" t="s">
        <v>657</v>
      </c>
      <c r="O90" s="516" t="s">
        <v>657</v>
      </c>
      <c r="P90" s="517" t="s">
        <v>657</v>
      </c>
      <c r="Q90" s="527" t="s">
        <v>657</v>
      </c>
      <c r="R90" s="525"/>
      <c r="S90" s="520" t="s">
        <v>657</v>
      </c>
      <c r="T90" s="526" t="s">
        <v>657</v>
      </c>
      <c r="U90" s="526" t="s">
        <v>657</v>
      </c>
      <c r="V90" s="516" t="s">
        <v>657</v>
      </c>
      <c r="W90" s="517" t="s">
        <v>657</v>
      </c>
      <c r="X90" s="527" t="s">
        <v>657</v>
      </c>
    </row>
    <row r="91" spans="1:24" s="499" customFormat="1" x14ac:dyDescent="0.2">
      <c r="A91" s="522">
        <f t="shared" ref="A91:A154" si="1">A90-1</f>
        <v>-45</v>
      </c>
      <c r="B91" s="833" t="s">
        <v>657</v>
      </c>
      <c r="C91" s="524"/>
      <c r="D91" s="841" t="s">
        <v>657</v>
      </c>
      <c r="E91" s="839" t="s">
        <v>657</v>
      </c>
      <c r="F91" s="839" t="s">
        <v>657</v>
      </c>
      <c r="G91" s="836" t="s">
        <v>657</v>
      </c>
      <c r="H91" s="837" t="s">
        <v>657</v>
      </c>
      <c r="I91" s="872"/>
      <c r="J91" s="840" t="s">
        <v>657</v>
      </c>
      <c r="K91" s="525"/>
      <c r="L91" s="520" t="s">
        <v>657</v>
      </c>
      <c r="M91" s="526" t="s">
        <v>657</v>
      </c>
      <c r="N91" s="526" t="s">
        <v>657</v>
      </c>
      <c r="O91" s="516" t="s">
        <v>657</v>
      </c>
      <c r="P91" s="517" t="s">
        <v>657</v>
      </c>
      <c r="Q91" s="527" t="s">
        <v>657</v>
      </c>
      <c r="R91" s="525"/>
      <c r="S91" s="520" t="s">
        <v>657</v>
      </c>
      <c r="T91" s="526" t="s">
        <v>657</v>
      </c>
      <c r="U91" s="526" t="s">
        <v>657</v>
      </c>
      <c r="V91" s="516" t="s">
        <v>657</v>
      </c>
      <c r="W91" s="517" t="s">
        <v>657</v>
      </c>
      <c r="X91" s="527" t="s">
        <v>657</v>
      </c>
    </row>
    <row r="92" spans="1:24" s="499" customFormat="1" x14ac:dyDescent="0.2">
      <c r="A92" s="522">
        <f t="shared" si="1"/>
        <v>-46</v>
      </c>
      <c r="B92" s="833" t="s">
        <v>657</v>
      </c>
      <c r="C92" s="524"/>
      <c r="D92" s="841" t="s">
        <v>657</v>
      </c>
      <c r="E92" s="839" t="s">
        <v>657</v>
      </c>
      <c r="F92" s="839" t="s">
        <v>657</v>
      </c>
      <c r="G92" s="836" t="s">
        <v>657</v>
      </c>
      <c r="H92" s="837" t="s">
        <v>657</v>
      </c>
      <c r="I92" s="872"/>
      <c r="J92" s="840" t="s">
        <v>657</v>
      </c>
      <c r="K92" s="525"/>
      <c r="L92" s="520" t="s">
        <v>657</v>
      </c>
      <c r="M92" s="526" t="s">
        <v>657</v>
      </c>
      <c r="N92" s="526" t="s">
        <v>657</v>
      </c>
      <c r="O92" s="516" t="s">
        <v>657</v>
      </c>
      <c r="P92" s="517" t="s">
        <v>657</v>
      </c>
      <c r="Q92" s="527" t="s">
        <v>657</v>
      </c>
      <c r="R92" s="525"/>
      <c r="S92" s="520" t="s">
        <v>657</v>
      </c>
      <c r="T92" s="526" t="s">
        <v>657</v>
      </c>
      <c r="U92" s="526" t="s">
        <v>657</v>
      </c>
      <c r="V92" s="516" t="s">
        <v>657</v>
      </c>
      <c r="W92" s="517" t="s">
        <v>657</v>
      </c>
      <c r="X92" s="527" t="s">
        <v>657</v>
      </c>
    </row>
    <row r="93" spans="1:24" s="499" customFormat="1" x14ac:dyDescent="0.2">
      <c r="A93" s="522">
        <f t="shared" si="1"/>
        <v>-47</v>
      </c>
      <c r="B93" s="833" t="s">
        <v>657</v>
      </c>
      <c r="C93" s="524"/>
      <c r="D93" s="841" t="s">
        <v>657</v>
      </c>
      <c r="E93" s="839" t="s">
        <v>657</v>
      </c>
      <c r="F93" s="839" t="s">
        <v>657</v>
      </c>
      <c r="G93" s="836" t="s">
        <v>657</v>
      </c>
      <c r="H93" s="837" t="s">
        <v>657</v>
      </c>
      <c r="I93" s="872"/>
      <c r="J93" s="840" t="s">
        <v>657</v>
      </c>
      <c r="K93" s="525"/>
      <c r="L93" s="520" t="s">
        <v>657</v>
      </c>
      <c r="M93" s="526" t="s">
        <v>657</v>
      </c>
      <c r="N93" s="526" t="s">
        <v>657</v>
      </c>
      <c r="O93" s="516" t="s">
        <v>657</v>
      </c>
      <c r="P93" s="517" t="s">
        <v>657</v>
      </c>
      <c r="Q93" s="527" t="s">
        <v>657</v>
      </c>
      <c r="R93" s="525"/>
      <c r="S93" s="520" t="s">
        <v>657</v>
      </c>
      <c r="T93" s="526" t="s">
        <v>657</v>
      </c>
      <c r="U93" s="526" t="s">
        <v>657</v>
      </c>
      <c r="V93" s="516" t="s">
        <v>657</v>
      </c>
      <c r="W93" s="517" t="s">
        <v>657</v>
      </c>
      <c r="X93" s="527" t="s">
        <v>657</v>
      </c>
    </row>
    <row r="94" spans="1:24" s="499" customFormat="1" x14ac:dyDescent="0.2">
      <c r="A94" s="522">
        <f t="shared" si="1"/>
        <v>-48</v>
      </c>
      <c r="B94" s="833" t="s">
        <v>657</v>
      </c>
      <c r="C94" s="524"/>
      <c r="D94" s="841" t="s">
        <v>657</v>
      </c>
      <c r="E94" s="839" t="s">
        <v>657</v>
      </c>
      <c r="F94" s="839" t="s">
        <v>657</v>
      </c>
      <c r="G94" s="836" t="s">
        <v>657</v>
      </c>
      <c r="H94" s="837" t="s">
        <v>657</v>
      </c>
      <c r="I94" s="872"/>
      <c r="J94" s="840" t="s">
        <v>657</v>
      </c>
      <c r="K94" s="525"/>
      <c r="L94" s="520" t="s">
        <v>657</v>
      </c>
      <c r="M94" s="526" t="s">
        <v>657</v>
      </c>
      <c r="N94" s="526" t="s">
        <v>657</v>
      </c>
      <c r="O94" s="516" t="s">
        <v>657</v>
      </c>
      <c r="P94" s="517" t="s">
        <v>657</v>
      </c>
      <c r="Q94" s="527" t="s">
        <v>657</v>
      </c>
      <c r="R94" s="525"/>
      <c r="S94" s="520" t="s">
        <v>657</v>
      </c>
      <c r="T94" s="526" t="s">
        <v>657</v>
      </c>
      <c r="U94" s="526" t="s">
        <v>657</v>
      </c>
      <c r="V94" s="516" t="s">
        <v>657</v>
      </c>
      <c r="W94" s="517" t="s">
        <v>657</v>
      </c>
      <c r="X94" s="527" t="s">
        <v>657</v>
      </c>
    </row>
    <row r="95" spans="1:24" s="499" customFormat="1" x14ac:dyDescent="0.2">
      <c r="A95" s="522">
        <f t="shared" si="1"/>
        <v>-49</v>
      </c>
      <c r="B95" s="833" t="s">
        <v>657</v>
      </c>
      <c r="C95" s="524"/>
      <c r="D95" s="841" t="s">
        <v>657</v>
      </c>
      <c r="E95" s="839" t="s">
        <v>657</v>
      </c>
      <c r="F95" s="839" t="s">
        <v>657</v>
      </c>
      <c r="G95" s="836" t="s">
        <v>657</v>
      </c>
      <c r="H95" s="837" t="s">
        <v>657</v>
      </c>
      <c r="I95" s="872"/>
      <c r="J95" s="840" t="s">
        <v>657</v>
      </c>
      <c r="K95" s="525"/>
      <c r="L95" s="520" t="s">
        <v>657</v>
      </c>
      <c r="M95" s="526" t="s">
        <v>657</v>
      </c>
      <c r="N95" s="526" t="s">
        <v>657</v>
      </c>
      <c r="O95" s="516" t="s">
        <v>657</v>
      </c>
      <c r="P95" s="517" t="s">
        <v>657</v>
      </c>
      <c r="Q95" s="527" t="s">
        <v>657</v>
      </c>
      <c r="R95" s="525"/>
      <c r="S95" s="520" t="s">
        <v>657</v>
      </c>
      <c r="T95" s="526" t="s">
        <v>657</v>
      </c>
      <c r="U95" s="526" t="s">
        <v>657</v>
      </c>
      <c r="V95" s="516" t="s">
        <v>657</v>
      </c>
      <c r="W95" s="517" t="s">
        <v>657</v>
      </c>
      <c r="X95" s="527" t="s">
        <v>657</v>
      </c>
    </row>
    <row r="96" spans="1:24" s="499" customFormat="1" x14ac:dyDescent="0.2">
      <c r="A96" s="522">
        <f t="shared" si="1"/>
        <v>-50</v>
      </c>
      <c r="B96" s="833" t="s">
        <v>657</v>
      </c>
      <c r="C96" s="524"/>
      <c r="D96" s="841" t="s">
        <v>657</v>
      </c>
      <c r="E96" s="839" t="s">
        <v>657</v>
      </c>
      <c r="F96" s="839" t="s">
        <v>657</v>
      </c>
      <c r="G96" s="836" t="s">
        <v>657</v>
      </c>
      <c r="H96" s="837" t="s">
        <v>657</v>
      </c>
      <c r="I96" s="872"/>
      <c r="J96" s="840" t="s">
        <v>657</v>
      </c>
      <c r="K96" s="525"/>
      <c r="L96" s="520" t="s">
        <v>657</v>
      </c>
      <c r="M96" s="526" t="s">
        <v>657</v>
      </c>
      <c r="N96" s="526" t="s">
        <v>657</v>
      </c>
      <c r="O96" s="516" t="s">
        <v>657</v>
      </c>
      <c r="P96" s="517" t="s">
        <v>657</v>
      </c>
      <c r="Q96" s="527" t="s">
        <v>657</v>
      </c>
      <c r="R96" s="525"/>
      <c r="S96" s="520" t="s">
        <v>657</v>
      </c>
      <c r="T96" s="526" t="s">
        <v>657</v>
      </c>
      <c r="U96" s="526" t="s">
        <v>657</v>
      </c>
      <c r="V96" s="516" t="s">
        <v>657</v>
      </c>
      <c r="W96" s="517" t="s">
        <v>657</v>
      </c>
      <c r="X96" s="527" t="s">
        <v>657</v>
      </c>
    </row>
    <row r="97" spans="1:24" s="499" customFormat="1" x14ac:dyDescent="0.2">
      <c r="A97" s="522">
        <f t="shared" si="1"/>
        <v>-51</v>
      </c>
      <c r="B97" s="833" t="s">
        <v>657</v>
      </c>
      <c r="C97" s="524"/>
      <c r="D97" s="841" t="s">
        <v>657</v>
      </c>
      <c r="E97" s="839" t="s">
        <v>657</v>
      </c>
      <c r="F97" s="839" t="s">
        <v>657</v>
      </c>
      <c r="G97" s="836" t="s">
        <v>657</v>
      </c>
      <c r="H97" s="837" t="s">
        <v>657</v>
      </c>
      <c r="I97" s="872"/>
      <c r="J97" s="840" t="s">
        <v>657</v>
      </c>
      <c r="K97" s="525"/>
      <c r="L97" s="520" t="s">
        <v>657</v>
      </c>
      <c r="M97" s="526" t="s">
        <v>657</v>
      </c>
      <c r="N97" s="526" t="s">
        <v>657</v>
      </c>
      <c r="O97" s="516" t="s">
        <v>657</v>
      </c>
      <c r="P97" s="517" t="s">
        <v>657</v>
      </c>
      <c r="Q97" s="527" t="s">
        <v>657</v>
      </c>
      <c r="R97" s="525"/>
      <c r="S97" s="520" t="s">
        <v>657</v>
      </c>
      <c r="T97" s="526" t="s">
        <v>657</v>
      </c>
      <c r="U97" s="526" t="s">
        <v>657</v>
      </c>
      <c r="V97" s="516" t="s">
        <v>657</v>
      </c>
      <c r="W97" s="517" t="s">
        <v>657</v>
      </c>
      <c r="X97" s="527" t="s">
        <v>657</v>
      </c>
    </row>
    <row r="98" spans="1:24" s="499" customFormat="1" x14ac:dyDescent="0.2">
      <c r="A98" s="522">
        <f t="shared" si="1"/>
        <v>-52</v>
      </c>
      <c r="B98" s="833" t="s">
        <v>657</v>
      </c>
      <c r="C98" s="524"/>
      <c r="D98" s="841" t="s">
        <v>657</v>
      </c>
      <c r="E98" s="839" t="s">
        <v>657</v>
      </c>
      <c r="F98" s="839" t="s">
        <v>657</v>
      </c>
      <c r="G98" s="836" t="s">
        <v>657</v>
      </c>
      <c r="H98" s="837" t="s">
        <v>657</v>
      </c>
      <c r="I98" s="872"/>
      <c r="J98" s="840" t="s">
        <v>657</v>
      </c>
      <c r="K98" s="525"/>
      <c r="L98" s="520" t="s">
        <v>657</v>
      </c>
      <c r="M98" s="526" t="s">
        <v>657</v>
      </c>
      <c r="N98" s="526" t="s">
        <v>657</v>
      </c>
      <c r="O98" s="516" t="s">
        <v>657</v>
      </c>
      <c r="P98" s="517" t="s">
        <v>657</v>
      </c>
      <c r="Q98" s="527" t="s">
        <v>657</v>
      </c>
      <c r="R98" s="525"/>
      <c r="S98" s="520" t="s">
        <v>657</v>
      </c>
      <c r="T98" s="526" t="s">
        <v>657</v>
      </c>
      <c r="U98" s="526" t="s">
        <v>657</v>
      </c>
      <c r="V98" s="516" t="s">
        <v>657</v>
      </c>
      <c r="W98" s="517" t="s">
        <v>657</v>
      </c>
      <c r="X98" s="527" t="s">
        <v>657</v>
      </c>
    </row>
    <row r="99" spans="1:24" s="499" customFormat="1" x14ac:dyDescent="0.2">
      <c r="A99" s="522">
        <f t="shared" si="1"/>
        <v>-53</v>
      </c>
      <c r="B99" s="833" t="s">
        <v>657</v>
      </c>
      <c r="C99" s="524"/>
      <c r="D99" s="841" t="s">
        <v>657</v>
      </c>
      <c r="E99" s="839" t="s">
        <v>657</v>
      </c>
      <c r="F99" s="839" t="s">
        <v>657</v>
      </c>
      <c r="G99" s="836" t="s">
        <v>657</v>
      </c>
      <c r="H99" s="837" t="s">
        <v>657</v>
      </c>
      <c r="I99" s="872"/>
      <c r="J99" s="840" t="s">
        <v>657</v>
      </c>
      <c r="K99" s="525"/>
      <c r="L99" s="520" t="s">
        <v>657</v>
      </c>
      <c r="M99" s="526" t="s">
        <v>657</v>
      </c>
      <c r="N99" s="526" t="s">
        <v>657</v>
      </c>
      <c r="O99" s="516" t="s">
        <v>657</v>
      </c>
      <c r="P99" s="517" t="s">
        <v>657</v>
      </c>
      <c r="Q99" s="527" t="s">
        <v>657</v>
      </c>
      <c r="R99" s="525"/>
      <c r="S99" s="520" t="s">
        <v>657</v>
      </c>
      <c r="T99" s="526" t="s">
        <v>657</v>
      </c>
      <c r="U99" s="526" t="s">
        <v>657</v>
      </c>
      <c r="V99" s="516" t="s">
        <v>657</v>
      </c>
      <c r="W99" s="517" t="s">
        <v>657</v>
      </c>
      <c r="X99" s="527" t="s">
        <v>657</v>
      </c>
    </row>
    <row r="100" spans="1:24" s="499" customFormat="1" x14ac:dyDescent="0.2">
      <c r="A100" s="522">
        <f t="shared" si="1"/>
        <v>-54</v>
      </c>
      <c r="B100" s="833" t="s">
        <v>657</v>
      </c>
      <c r="C100" s="524"/>
      <c r="D100" s="841" t="s">
        <v>657</v>
      </c>
      <c r="E100" s="839" t="s">
        <v>657</v>
      </c>
      <c r="F100" s="839" t="s">
        <v>657</v>
      </c>
      <c r="G100" s="836" t="s">
        <v>657</v>
      </c>
      <c r="H100" s="837" t="s">
        <v>657</v>
      </c>
      <c r="I100" s="872"/>
      <c r="J100" s="840" t="s">
        <v>657</v>
      </c>
      <c r="K100" s="525"/>
      <c r="L100" s="520" t="s">
        <v>657</v>
      </c>
      <c r="M100" s="526" t="s">
        <v>657</v>
      </c>
      <c r="N100" s="526" t="s">
        <v>657</v>
      </c>
      <c r="O100" s="516" t="s">
        <v>657</v>
      </c>
      <c r="P100" s="517" t="s">
        <v>657</v>
      </c>
      <c r="Q100" s="527" t="s">
        <v>657</v>
      </c>
      <c r="R100" s="525"/>
      <c r="S100" s="520" t="s">
        <v>657</v>
      </c>
      <c r="T100" s="526" t="s">
        <v>657</v>
      </c>
      <c r="U100" s="526" t="s">
        <v>657</v>
      </c>
      <c r="V100" s="516" t="s">
        <v>657</v>
      </c>
      <c r="W100" s="517" t="s">
        <v>657</v>
      </c>
      <c r="X100" s="527" t="s">
        <v>657</v>
      </c>
    </row>
    <row r="101" spans="1:24" s="499" customFormat="1" x14ac:dyDescent="0.2">
      <c r="A101" s="522">
        <f t="shared" si="1"/>
        <v>-55</v>
      </c>
      <c r="B101" s="833" t="s">
        <v>657</v>
      </c>
      <c r="C101" s="524"/>
      <c r="D101" s="841" t="s">
        <v>657</v>
      </c>
      <c r="E101" s="839" t="s">
        <v>657</v>
      </c>
      <c r="F101" s="839" t="s">
        <v>657</v>
      </c>
      <c r="G101" s="836" t="s">
        <v>657</v>
      </c>
      <c r="H101" s="837" t="s">
        <v>657</v>
      </c>
      <c r="I101" s="872"/>
      <c r="J101" s="840" t="s">
        <v>657</v>
      </c>
      <c r="K101" s="525"/>
      <c r="L101" s="520" t="s">
        <v>657</v>
      </c>
      <c r="M101" s="526" t="s">
        <v>657</v>
      </c>
      <c r="N101" s="526" t="s">
        <v>657</v>
      </c>
      <c r="O101" s="516" t="s">
        <v>657</v>
      </c>
      <c r="P101" s="517" t="s">
        <v>657</v>
      </c>
      <c r="Q101" s="527" t="s">
        <v>657</v>
      </c>
      <c r="R101" s="525"/>
      <c r="S101" s="520" t="s">
        <v>657</v>
      </c>
      <c r="T101" s="526" t="s">
        <v>657</v>
      </c>
      <c r="U101" s="526" t="s">
        <v>657</v>
      </c>
      <c r="V101" s="516" t="s">
        <v>657</v>
      </c>
      <c r="W101" s="517" t="s">
        <v>657</v>
      </c>
      <c r="X101" s="527" t="s">
        <v>657</v>
      </c>
    </row>
    <row r="102" spans="1:24" s="499" customFormat="1" x14ac:dyDescent="0.2">
      <c r="A102" s="522">
        <f t="shared" si="1"/>
        <v>-56</v>
      </c>
      <c r="B102" s="833" t="s">
        <v>657</v>
      </c>
      <c r="C102" s="524"/>
      <c r="D102" s="841" t="s">
        <v>657</v>
      </c>
      <c r="E102" s="839" t="s">
        <v>657</v>
      </c>
      <c r="F102" s="839" t="s">
        <v>657</v>
      </c>
      <c r="G102" s="836" t="s">
        <v>657</v>
      </c>
      <c r="H102" s="837" t="s">
        <v>657</v>
      </c>
      <c r="I102" s="872"/>
      <c r="J102" s="840" t="s">
        <v>657</v>
      </c>
      <c r="K102" s="525"/>
      <c r="L102" s="520" t="s">
        <v>657</v>
      </c>
      <c r="M102" s="526" t="s">
        <v>657</v>
      </c>
      <c r="N102" s="526" t="s">
        <v>657</v>
      </c>
      <c r="O102" s="516" t="s">
        <v>657</v>
      </c>
      <c r="P102" s="517" t="s">
        <v>657</v>
      </c>
      <c r="Q102" s="527" t="s">
        <v>657</v>
      </c>
      <c r="R102" s="525"/>
      <c r="S102" s="520" t="s">
        <v>657</v>
      </c>
      <c r="T102" s="526" t="s">
        <v>657</v>
      </c>
      <c r="U102" s="526" t="s">
        <v>657</v>
      </c>
      <c r="V102" s="516" t="s">
        <v>657</v>
      </c>
      <c r="W102" s="517" t="s">
        <v>657</v>
      </c>
      <c r="X102" s="527" t="s">
        <v>657</v>
      </c>
    </row>
    <row r="103" spans="1:24" s="499" customFormat="1" x14ac:dyDescent="0.2">
      <c r="A103" s="522">
        <f t="shared" si="1"/>
        <v>-57</v>
      </c>
      <c r="B103" s="833" t="s">
        <v>657</v>
      </c>
      <c r="C103" s="524"/>
      <c r="D103" s="841" t="s">
        <v>657</v>
      </c>
      <c r="E103" s="839" t="s">
        <v>657</v>
      </c>
      <c r="F103" s="839" t="s">
        <v>657</v>
      </c>
      <c r="G103" s="836" t="s">
        <v>657</v>
      </c>
      <c r="H103" s="837" t="s">
        <v>657</v>
      </c>
      <c r="I103" s="872"/>
      <c r="J103" s="840" t="s">
        <v>657</v>
      </c>
      <c r="K103" s="525"/>
      <c r="L103" s="520" t="s">
        <v>657</v>
      </c>
      <c r="M103" s="526" t="s">
        <v>657</v>
      </c>
      <c r="N103" s="526" t="s">
        <v>657</v>
      </c>
      <c r="O103" s="516" t="s">
        <v>657</v>
      </c>
      <c r="P103" s="517" t="s">
        <v>657</v>
      </c>
      <c r="Q103" s="527" t="s">
        <v>657</v>
      </c>
      <c r="R103" s="525"/>
      <c r="S103" s="520" t="s">
        <v>657</v>
      </c>
      <c r="T103" s="526" t="s">
        <v>657</v>
      </c>
      <c r="U103" s="526" t="s">
        <v>657</v>
      </c>
      <c r="V103" s="516" t="s">
        <v>657</v>
      </c>
      <c r="W103" s="517" t="s">
        <v>657</v>
      </c>
      <c r="X103" s="527" t="s">
        <v>657</v>
      </c>
    </row>
    <row r="104" spans="1:24" s="499" customFormat="1" x14ac:dyDescent="0.2">
      <c r="A104" s="522">
        <f t="shared" si="1"/>
        <v>-58</v>
      </c>
      <c r="B104" s="833" t="s">
        <v>657</v>
      </c>
      <c r="C104" s="524"/>
      <c r="D104" s="841" t="s">
        <v>657</v>
      </c>
      <c r="E104" s="839" t="s">
        <v>657</v>
      </c>
      <c r="F104" s="839" t="s">
        <v>657</v>
      </c>
      <c r="G104" s="836" t="s">
        <v>657</v>
      </c>
      <c r="H104" s="837" t="s">
        <v>657</v>
      </c>
      <c r="I104" s="872"/>
      <c r="J104" s="840" t="s">
        <v>657</v>
      </c>
      <c r="K104" s="525"/>
      <c r="L104" s="520" t="s">
        <v>657</v>
      </c>
      <c r="M104" s="526" t="s">
        <v>657</v>
      </c>
      <c r="N104" s="526" t="s">
        <v>657</v>
      </c>
      <c r="O104" s="516" t="s">
        <v>657</v>
      </c>
      <c r="P104" s="517" t="s">
        <v>657</v>
      </c>
      <c r="Q104" s="527" t="s">
        <v>657</v>
      </c>
      <c r="R104" s="525"/>
      <c r="S104" s="520" t="s">
        <v>657</v>
      </c>
      <c r="T104" s="526" t="s">
        <v>657</v>
      </c>
      <c r="U104" s="526" t="s">
        <v>657</v>
      </c>
      <c r="V104" s="516" t="s">
        <v>657</v>
      </c>
      <c r="W104" s="517" t="s">
        <v>657</v>
      </c>
      <c r="X104" s="527" t="s">
        <v>657</v>
      </c>
    </row>
    <row r="105" spans="1:24" s="499" customFormat="1" x14ac:dyDescent="0.2">
      <c r="A105" s="522">
        <f t="shared" si="1"/>
        <v>-59</v>
      </c>
      <c r="B105" s="833" t="s">
        <v>657</v>
      </c>
      <c r="C105" s="524"/>
      <c r="D105" s="841" t="s">
        <v>657</v>
      </c>
      <c r="E105" s="839" t="s">
        <v>657</v>
      </c>
      <c r="F105" s="839" t="s">
        <v>657</v>
      </c>
      <c r="G105" s="836" t="s">
        <v>657</v>
      </c>
      <c r="H105" s="837" t="s">
        <v>657</v>
      </c>
      <c r="I105" s="872"/>
      <c r="J105" s="840" t="s">
        <v>657</v>
      </c>
      <c r="K105" s="525"/>
      <c r="L105" s="520" t="s">
        <v>657</v>
      </c>
      <c r="M105" s="526" t="s">
        <v>657</v>
      </c>
      <c r="N105" s="526" t="s">
        <v>657</v>
      </c>
      <c r="O105" s="516" t="s">
        <v>657</v>
      </c>
      <c r="P105" s="517" t="s">
        <v>657</v>
      </c>
      <c r="Q105" s="527" t="s">
        <v>657</v>
      </c>
      <c r="R105" s="525"/>
      <c r="S105" s="520" t="s">
        <v>657</v>
      </c>
      <c r="T105" s="526" t="s">
        <v>657</v>
      </c>
      <c r="U105" s="526" t="s">
        <v>657</v>
      </c>
      <c r="V105" s="516" t="s">
        <v>657</v>
      </c>
      <c r="W105" s="517" t="s">
        <v>657</v>
      </c>
      <c r="X105" s="527" t="s">
        <v>657</v>
      </c>
    </row>
    <row r="106" spans="1:24" s="499" customFormat="1" x14ac:dyDescent="0.2">
      <c r="A106" s="522">
        <f t="shared" si="1"/>
        <v>-60</v>
      </c>
      <c r="B106" s="833" t="s">
        <v>657</v>
      </c>
      <c r="C106" s="524"/>
      <c r="D106" s="841" t="s">
        <v>657</v>
      </c>
      <c r="E106" s="839" t="s">
        <v>657</v>
      </c>
      <c r="F106" s="839" t="s">
        <v>657</v>
      </c>
      <c r="G106" s="836" t="s">
        <v>657</v>
      </c>
      <c r="H106" s="837" t="s">
        <v>657</v>
      </c>
      <c r="I106" s="872"/>
      <c r="J106" s="840" t="s">
        <v>657</v>
      </c>
      <c r="K106" s="525"/>
      <c r="L106" s="520" t="s">
        <v>657</v>
      </c>
      <c r="M106" s="526" t="s">
        <v>657</v>
      </c>
      <c r="N106" s="526" t="s">
        <v>657</v>
      </c>
      <c r="O106" s="516" t="s">
        <v>657</v>
      </c>
      <c r="P106" s="517" t="s">
        <v>657</v>
      </c>
      <c r="Q106" s="527" t="s">
        <v>657</v>
      </c>
      <c r="R106" s="525"/>
      <c r="S106" s="520" t="s">
        <v>657</v>
      </c>
      <c r="T106" s="526" t="s">
        <v>657</v>
      </c>
      <c r="U106" s="526" t="s">
        <v>657</v>
      </c>
      <c r="V106" s="516" t="s">
        <v>657</v>
      </c>
      <c r="W106" s="517" t="s">
        <v>657</v>
      </c>
      <c r="X106" s="527" t="s">
        <v>657</v>
      </c>
    </row>
    <row r="107" spans="1:24" s="499" customFormat="1" x14ac:dyDescent="0.2">
      <c r="A107" s="522">
        <f t="shared" si="1"/>
        <v>-61</v>
      </c>
      <c r="B107" s="833" t="s">
        <v>657</v>
      </c>
      <c r="C107" s="524"/>
      <c r="D107" s="841" t="s">
        <v>657</v>
      </c>
      <c r="E107" s="839" t="s">
        <v>657</v>
      </c>
      <c r="F107" s="839" t="s">
        <v>657</v>
      </c>
      <c r="G107" s="836" t="s">
        <v>657</v>
      </c>
      <c r="H107" s="837" t="s">
        <v>657</v>
      </c>
      <c r="I107" s="872"/>
      <c r="J107" s="840" t="s">
        <v>657</v>
      </c>
      <c r="K107" s="525"/>
      <c r="L107" s="520" t="s">
        <v>657</v>
      </c>
      <c r="M107" s="526" t="s">
        <v>657</v>
      </c>
      <c r="N107" s="526" t="s">
        <v>657</v>
      </c>
      <c r="O107" s="516" t="s">
        <v>657</v>
      </c>
      <c r="P107" s="517" t="s">
        <v>657</v>
      </c>
      <c r="Q107" s="527" t="s">
        <v>657</v>
      </c>
      <c r="R107" s="525"/>
      <c r="S107" s="520" t="s">
        <v>657</v>
      </c>
      <c r="T107" s="526" t="s">
        <v>657</v>
      </c>
      <c r="U107" s="526" t="s">
        <v>657</v>
      </c>
      <c r="V107" s="516" t="s">
        <v>657</v>
      </c>
      <c r="W107" s="517" t="s">
        <v>657</v>
      </c>
      <c r="X107" s="527" t="s">
        <v>657</v>
      </c>
    </row>
    <row r="108" spans="1:24" s="499" customFormat="1" x14ac:dyDescent="0.2">
      <c r="A108" s="522">
        <f t="shared" si="1"/>
        <v>-62</v>
      </c>
      <c r="B108" s="833" t="s">
        <v>657</v>
      </c>
      <c r="C108" s="524"/>
      <c r="D108" s="841" t="s">
        <v>657</v>
      </c>
      <c r="E108" s="839" t="s">
        <v>657</v>
      </c>
      <c r="F108" s="839" t="s">
        <v>657</v>
      </c>
      <c r="G108" s="836" t="s">
        <v>657</v>
      </c>
      <c r="H108" s="837" t="s">
        <v>657</v>
      </c>
      <c r="I108" s="872"/>
      <c r="J108" s="840" t="s">
        <v>657</v>
      </c>
      <c r="K108" s="525"/>
      <c r="L108" s="520" t="s">
        <v>657</v>
      </c>
      <c r="M108" s="526" t="s">
        <v>657</v>
      </c>
      <c r="N108" s="526" t="s">
        <v>657</v>
      </c>
      <c r="O108" s="516" t="s">
        <v>657</v>
      </c>
      <c r="P108" s="517" t="s">
        <v>657</v>
      </c>
      <c r="Q108" s="527" t="s">
        <v>657</v>
      </c>
      <c r="R108" s="525"/>
      <c r="S108" s="520" t="s">
        <v>657</v>
      </c>
      <c r="T108" s="526" t="s">
        <v>657</v>
      </c>
      <c r="U108" s="526" t="s">
        <v>657</v>
      </c>
      <c r="V108" s="516" t="s">
        <v>657</v>
      </c>
      <c r="W108" s="517" t="s">
        <v>657</v>
      </c>
      <c r="X108" s="527" t="s">
        <v>657</v>
      </c>
    </row>
    <row r="109" spans="1:24" s="499" customFormat="1" x14ac:dyDescent="0.2">
      <c r="A109" s="522">
        <f t="shared" si="1"/>
        <v>-63</v>
      </c>
      <c r="B109" s="833" t="s">
        <v>657</v>
      </c>
      <c r="C109" s="524"/>
      <c r="D109" s="841" t="s">
        <v>657</v>
      </c>
      <c r="E109" s="839" t="s">
        <v>657</v>
      </c>
      <c r="F109" s="839" t="s">
        <v>657</v>
      </c>
      <c r="G109" s="836" t="s">
        <v>657</v>
      </c>
      <c r="H109" s="837" t="s">
        <v>657</v>
      </c>
      <c r="I109" s="872"/>
      <c r="J109" s="840" t="s">
        <v>657</v>
      </c>
      <c r="K109" s="525"/>
      <c r="L109" s="520" t="s">
        <v>657</v>
      </c>
      <c r="M109" s="526" t="s">
        <v>657</v>
      </c>
      <c r="N109" s="526" t="s">
        <v>657</v>
      </c>
      <c r="O109" s="516" t="s">
        <v>657</v>
      </c>
      <c r="P109" s="517" t="s">
        <v>657</v>
      </c>
      <c r="Q109" s="527" t="s">
        <v>657</v>
      </c>
      <c r="R109" s="525"/>
      <c r="S109" s="520" t="s">
        <v>657</v>
      </c>
      <c r="T109" s="526" t="s">
        <v>657</v>
      </c>
      <c r="U109" s="526" t="s">
        <v>657</v>
      </c>
      <c r="V109" s="516" t="s">
        <v>657</v>
      </c>
      <c r="W109" s="517" t="s">
        <v>657</v>
      </c>
      <c r="X109" s="527" t="s">
        <v>657</v>
      </c>
    </row>
    <row r="110" spans="1:24" s="499" customFormat="1" x14ac:dyDescent="0.2">
      <c r="A110" s="522">
        <f t="shared" si="1"/>
        <v>-64</v>
      </c>
      <c r="B110" s="833" t="s">
        <v>657</v>
      </c>
      <c r="C110" s="524"/>
      <c r="D110" s="841" t="s">
        <v>657</v>
      </c>
      <c r="E110" s="839" t="s">
        <v>657</v>
      </c>
      <c r="F110" s="839" t="s">
        <v>657</v>
      </c>
      <c r="G110" s="836" t="s">
        <v>657</v>
      </c>
      <c r="H110" s="837" t="s">
        <v>657</v>
      </c>
      <c r="I110" s="872"/>
      <c r="J110" s="840" t="s">
        <v>657</v>
      </c>
      <c r="K110" s="525"/>
      <c r="L110" s="520" t="s">
        <v>657</v>
      </c>
      <c r="M110" s="526" t="s">
        <v>657</v>
      </c>
      <c r="N110" s="526" t="s">
        <v>657</v>
      </c>
      <c r="O110" s="516" t="s">
        <v>657</v>
      </c>
      <c r="P110" s="517" t="s">
        <v>657</v>
      </c>
      <c r="Q110" s="527" t="s">
        <v>657</v>
      </c>
      <c r="R110" s="525"/>
      <c r="S110" s="520" t="s">
        <v>657</v>
      </c>
      <c r="T110" s="526" t="s">
        <v>657</v>
      </c>
      <c r="U110" s="526" t="s">
        <v>657</v>
      </c>
      <c r="V110" s="516" t="s">
        <v>657</v>
      </c>
      <c r="W110" s="517" t="s">
        <v>657</v>
      </c>
      <c r="X110" s="527" t="s">
        <v>657</v>
      </c>
    </row>
    <row r="111" spans="1:24" s="499" customFormat="1" x14ac:dyDescent="0.2">
      <c r="A111" s="522">
        <f t="shared" si="1"/>
        <v>-65</v>
      </c>
      <c r="B111" s="833" t="s">
        <v>657</v>
      </c>
      <c r="C111" s="524"/>
      <c r="D111" s="841" t="s">
        <v>657</v>
      </c>
      <c r="E111" s="839" t="s">
        <v>657</v>
      </c>
      <c r="F111" s="839" t="s">
        <v>657</v>
      </c>
      <c r="G111" s="836" t="s">
        <v>657</v>
      </c>
      <c r="H111" s="837" t="s">
        <v>657</v>
      </c>
      <c r="I111" s="872"/>
      <c r="J111" s="840" t="s">
        <v>657</v>
      </c>
      <c r="K111" s="525"/>
      <c r="L111" s="520" t="s">
        <v>657</v>
      </c>
      <c r="M111" s="526" t="s">
        <v>657</v>
      </c>
      <c r="N111" s="526" t="s">
        <v>657</v>
      </c>
      <c r="O111" s="516" t="s">
        <v>657</v>
      </c>
      <c r="P111" s="517" t="s">
        <v>657</v>
      </c>
      <c r="Q111" s="527" t="s">
        <v>657</v>
      </c>
      <c r="R111" s="525"/>
      <c r="S111" s="520" t="s">
        <v>657</v>
      </c>
      <c r="T111" s="526" t="s">
        <v>657</v>
      </c>
      <c r="U111" s="526" t="s">
        <v>657</v>
      </c>
      <c r="V111" s="516" t="s">
        <v>657</v>
      </c>
      <c r="W111" s="517" t="s">
        <v>657</v>
      </c>
      <c r="X111" s="527" t="s">
        <v>657</v>
      </c>
    </row>
    <row r="112" spans="1:24" s="499" customFormat="1" x14ac:dyDescent="0.2">
      <c r="A112" s="522">
        <f t="shared" si="1"/>
        <v>-66</v>
      </c>
      <c r="B112" s="833" t="s">
        <v>657</v>
      </c>
      <c r="C112" s="524"/>
      <c r="D112" s="841" t="s">
        <v>657</v>
      </c>
      <c r="E112" s="839" t="s">
        <v>657</v>
      </c>
      <c r="F112" s="839" t="s">
        <v>657</v>
      </c>
      <c r="G112" s="836" t="s">
        <v>657</v>
      </c>
      <c r="H112" s="837" t="s">
        <v>657</v>
      </c>
      <c r="I112" s="872"/>
      <c r="J112" s="840" t="s">
        <v>657</v>
      </c>
      <c r="K112" s="525"/>
      <c r="L112" s="520" t="s">
        <v>657</v>
      </c>
      <c r="M112" s="526" t="s">
        <v>657</v>
      </c>
      <c r="N112" s="526" t="s">
        <v>657</v>
      </c>
      <c r="O112" s="516" t="s">
        <v>657</v>
      </c>
      <c r="P112" s="517" t="s">
        <v>657</v>
      </c>
      <c r="Q112" s="527" t="s">
        <v>657</v>
      </c>
      <c r="R112" s="525"/>
      <c r="S112" s="520" t="s">
        <v>657</v>
      </c>
      <c r="T112" s="526" t="s">
        <v>657</v>
      </c>
      <c r="U112" s="526" t="s">
        <v>657</v>
      </c>
      <c r="V112" s="516" t="s">
        <v>657</v>
      </c>
      <c r="W112" s="517" t="s">
        <v>657</v>
      </c>
      <c r="X112" s="527" t="s">
        <v>657</v>
      </c>
    </row>
    <row r="113" spans="1:24" s="499" customFormat="1" x14ac:dyDescent="0.2">
      <c r="A113" s="522">
        <f t="shared" si="1"/>
        <v>-67</v>
      </c>
      <c r="B113" s="833" t="s">
        <v>657</v>
      </c>
      <c r="C113" s="524"/>
      <c r="D113" s="841" t="s">
        <v>657</v>
      </c>
      <c r="E113" s="839" t="s">
        <v>657</v>
      </c>
      <c r="F113" s="839" t="s">
        <v>657</v>
      </c>
      <c r="G113" s="836" t="s">
        <v>657</v>
      </c>
      <c r="H113" s="837" t="s">
        <v>657</v>
      </c>
      <c r="I113" s="872"/>
      <c r="J113" s="840" t="s">
        <v>657</v>
      </c>
      <c r="K113" s="525"/>
      <c r="L113" s="520" t="s">
        <v>657</v>
      </c>
      <c r="M113" s="526" t="s">
        <v>657</v>
      </c>
      <c r="N113" s="526" t="s">
        <v>657</v>
      </c>
      <c r="O113" s="516" t="s">
        <v>657</v>
      </c>
      <c r="P113" s="517" t="s">
        <v>657</v>
      </c>
      <c r="Q113" s="527" t="s">
        <v>657</v>
      </c>
      <c r="R113" s="525"/>
      <c r="S113" s="520" t="s">
        <v>657</v>
      </c>
      <c r="T113" s="526" t="s">
        <v>657</v>
      </c>
      <c r="U113" s="526" t="s">
        <v>657</v>
      </c>
      <c r="V113" s="516" t="s">
        <v>657</v>
      </c>
      <c r="W113" s="517" t="s">
        <v>657</v>
      </c>
      <c r="X113" s="527" t="s">
        <v>657</v>
      </c>
    </row>
    <row r="114" spans="1:24" s="499" customFormat="1" x14ac:dyDescent="0.2">
      <c r="A114" s="522">
        <f t="shared" si="1"/>
        <v>-68</v>
      </c>
      <c r="B114" s="833" t="s">
        <v>657</v>
      </c>
      <c r="C114" s="524"/>
      <c r="D114" s="841" t="s">
        <v>657</v>
      </c>
      <c r="E114" s="839" t="s">
        <v>657</v>
      </c>
      <c r="F114" s="839" t="s">
        <v>657</v>
      </c>
      <c r="G114" s="836" t="s">
        <v>657</v>
      </c>
      <c r="H114" s="837" t="s">
        <v>657</v>
      </c>
      <c r="I114" s="872"/>
      <c r="J114" s="840" t="s">
        <v>657</v>
      </c>
      <c r="K114" s="525"/>
      <c r="L114" s="520" t="s">
        <v>657</v>
      </c>
      <c r="M114" s="526" t="s">
        <v>657</v>
      </c>
      <c r="N114" s="526" t="s">
        <v>657</v>
      </c>
      <c r="O114" s="516" t="s">
        <v>657</v>
      </c>
      <c r="P114" s="517" t="s">
        <v>657</v>
      </c>
      <c r="Q114" s="527" t="s">
        <v>657</v>
      </c>
      <c r="R114" s="525"/>
      <c r="S114" s="520" t="s">
        <v>657</v>
      </c>
      <c r="T114" s="526" t="s">
        <v>657</v>
      </c>
      <c r="U114" s="526" t="s">
        <v>657</v>
      </c>
      <c r="V114" s="516" t="s">
        <v>657</v>
      </c>
      <c r="W114" s="517" t="s">
        <v>657</v>
      </c>
      <c r="X114" s="527" t="s">
        <v>657</v>
      </c>
    </row>
    <row r="115" spans="1:24" s="499" customFormat="1" x14ac:dyDescent="0.2">
      <c r="A115" s="522">
        <f t="shared" si="1"/>
        <v>-69</v>
      </c>
      <c r="B115" s="833" t="s">
        <v>657</v>
      </c>
      <c r="C115" s="524"/>
      <c r="D115" s="841" t="s">
        <v>657</v>
      </c>
      <c r="E115" s="839" t="s">
        <v>657</v>
      </c>
      <c r="F115" s="839" t="s">
        <v>657</v>
      </c>
      <c r="G115" s="836" t="s">
        <v>657</v>
      </c>
      <c r="H115" s="837" t="s">
        <v>657</v>
      </c>
      <c r="I115" s="872"/>
      <c r="J115" s="840" t="s">
        <v>657</v>
      </c>
      <c r="K115" s="525"/>
      <c r="L115" s="520" t="s">
        <v>657</v>
      </c>
      <c r="M115" s="526" t="s">
        <v>657</v>
      </c>
      <c r="N115" s="526" t="s">
        <v>657</v>
      </c>
      <c r="O115" s="516" t="s">
        <v>657</v>
      </c>
      <c r="P115" s="517" t="s">
        <v>657</v>
      </c>
      <c r="Q115" s="527" t="s">
        <v>657</v>
      </c>
      <c r="R115" s="525"/>
      <c r="S115" s="520" t="s">
        <v>657</v>
      </c>
      <c r="T115" s="526" t="s">
        <v>657</v>
      </c>
      <c r="U115" s="526" t="s">
        <v>657</v>
      </c>
      <c r="V115" s="516" t="s">
        <v>657</v>
      </c>
      <c r="W115" s="517" t="s">
        <v>657</v>
      </c>
      <c r="X115" s="527" t="s">
        <v>657</v>
      </c>
    </row>
    <row r="116" spans="1:24" s="499" customFormat="1" x14ac:dyDescent="0.2">
      <c r="A116" s="522">
        <f t="shared" si="1"/>
        <v>-70</v>
      </c>
      <c r="B116" s="833" t="s">
        <v>657</v>
      </c>
      <c r="C116" s="524"/>
      <c r="D116" s="841" t="s">
        <v>657</v>
      </c>
      <c r="E116" s="839" t="s">
        <v>657</v>
      </c>
      <c r="F116" s="839" t="s">
        <v>657</v>
      </c>
      <c r="G116" s="836" t="s">
        <v>657</v>
      </c>
      <c r="H116" s="837" t="s">
        <v>657</v>
      </c>
      <c r="I116" s="872"/>
      <c r="J116" s="840" t="s">
        <v>657</v>
      </c>
      <c r="K116" s="525"/>
      <c r="L116" s="520" t="s">
        <v>657</v>
      </c>
      <c r="M116" s="526" t="s">
        <v>657</v>
      </c>
      <c r="N116" s="526" t="s">
        <v>657</v>
      </c>
      <c r="O116" s="516" t="s">
        <v>657</v>
      </c>
      <c r="P116" s="517" t="s">
        <v>657</v>
      </c>
      <c r="Q116" s="527" t="s">
        <v>657</v>
      </c>
      <c r="R116" s="525"/>
      <c r="S116" s="520" t="s">
        <v>657</v>
      </c>
      <c r="T116" s="526" t="s">
        <v>657</v>
      </c>
      <c r="U116" s="526" t="s">
        <v>657</v>
      </c>
      <c r="V116" s="516" t="s">
        <v>657</v>
      </c>
      <c r="W116" s="517" t="s">
        <v>657</v>
      </c>
      <c r="X116" s="527" t="s">
        <v>657</v>
      </c>
    </row>
    <row r="117" spans="1:24" s="499" customFormat="1" x14ac:dyDescent="0.2">
      <c r="A117" s="522">
        <f t="shared" si="1"/>
        <v>-71</v>
      </c>
      <c r="B117" s="833" t="s">
        <v>657</v>
      </c>
      <c r="C117" s="524"/>
      <c r="D117" s="841" t="s">
        <v>657</v>
      </c>
      <c r="E117" s="839" t="s">
        <v>657</v>
      </c>
      <c r="F117" s="839" t="s">
        <v>657</v>
      </c>
      <c r="G117" s="836" t="s">
        <v>657</v>
      </c>
      <c r="H117" s="837" t="s">
        <v>657</v>
      </c>
      <c r="I117" s="872"/>
      <c r="J117" s="840" t="s">
        <v>657</v>
      </c>
      <c r="K117" s="525"/>
      <c r="L117" s="520" t="s">
        <v>657</v>
      </c>
      <c r="M117" s="526" t="s">
        <v>657</v>
      </c>
      <c r="N117" s="526" t="s">
        <v>657</v>
      </c>
      <c r="O117" s="516" t="s">
        <v>657</v>
      </c>
      <c r="P117" s="517" t="s">
        <v>657</v>
      </c>
      <c r="Q117" s="527" t="s">
        <v>657</v>
      </c>
      <c r="R117" s="525"/>
      <c r="S117" s="520" t="s">
        <v>657</v>
      </c>
      <c r="T117" s="526" t="s">
        <v>657</v>
      </c>
      <c r="U117" s="526" t="s">
        <v>657</v>
      </c>
      <c r="V117" s="516" t="s">
        <v>657</v>
      </c>
      <c r="W117" s="517" t="s">
        <v>657</v>
      </c>
      <c r="X117" s="527" t="s">
        <v>657</v>
      </c>
    </row>
    <row r="118" spans="1:24" s="499" customFormat="1" x14ac:dyDescent="0.2">
      <c r="A118" s="522">
        <f t="shared" si="1"/>
        <v>-72</v>
      </c>
      <c r="B118" s="833" t="s">
        <v>657</v>
      </c>
      <c r="C118" s="524"/>
      <c r="D118" s="841" t="s">
        <v>657</v>
      </c>
      <c r="E118" s="839" t="s">
        <v>657</v>
      </c>
      <c r="F118" s="839" t="s">
        <v>657</v>
      </c>
      <c r="G118" s="836" t="s">
        <v>657</v>
      </c>
      <c r="H118" s="837" t="s">
        <v>657</v>
      </c>
      <c r="I118" s="872"/>
      <c r="J118" s="840" t="s">
        <v>657</v>
      </c>
      <c r="K118" s="525"/>
      <c r="L118" s="520" t="s">
        <v>657</v>
      </c>
      <c r="M118" s="526" t="s">
        <v>657</v>
      </c>
      <c r="N118" s="526" t="s">
        <v>657</v>
      </c>
      <c r="O118" s="516" t="s">
        <v>657</v>
      </c>
      <c r="P118" s="517" t="s">
        <v>657</v>
      </c>
      <c r="Q118" s="527" t="s">
        <v>657</v>
      </c>
      <c r="R118" s="525"/>
      <c r="S118" s="520" t="s">
        <v>657</v>
      </c>
      <c r="T118" s="526" t="s">
        <v>657</v>
      </c>
      <c r="U118" s="526" t="s">
        <v>657</v>
      </c>
      <c r="V118" s="516" t="s">
        <v>657</v>
      </c>
      <c r="W118" s="517" t="s">
        <v>657</v>
      </c>
      <c r="X118" s="527" t="s">
        <v>657</v>
      </c>
    </row>
    <row r="119" spans="1:24" s="499" customFormat="1" x14ac:dyDescent="0.2">
      <c r="A119" s="522">
        <f t="shared" si="1"/>
        <v>-73</v>
      </c>
      <c r="B119" s="833" t="s">
        <v>657</v>
      </c>
      <c r="C119" s="524"/>
      <c r="D119" s="841" t="s">
        <v>657</v>
      </c>
      <c r="E119" s="839" t="s">
        <v>657</v>
      </c>
      <c r="F119" s="839" t="s">
        <v>657</v>
      </c>
      <c r="G119" s="836" t="s">
        <v>657</v>
      </c>
      <c r="H119" s="837" t="s">
        <v>657</v>
      </c>
      <c r="I119" s="872"/>
      <c r="J119" s="840" t="s">
        <v>657</v>
      </c>
      <c r="K119" s="525"/>
      <c r="L119" s="520" t="s">
        <v>657</v>
      </c>
      <c r="M119" s="526" t="s">
        <v>657</v>
      </c>
      <c r="N119" s="526" t="s">
        <v>657</v>
      </c>
      <c r="O119" s="516" t="s">
        <v>657</v>
      </c>
      <c r="P119" s="517" t="s">
        <v>657</v>
      </c>
      <c r="Q119" s="527" t="s">
        <v>657</v>
      </c>
      <c r="R119" s="525"/>
      <c r="S119" s="520" t="s">
        <v>657</v>
      </c>
      <c r="T119" s="526" t="s">
        <v>657</v>
      </c>
      <c r="U119" s="526" t="s">
        <v>657</v>
      </c>
      <c r="V119" s="516" t="s">
        <v>657</v>
      </c>
      <c r="W119" s="517" t="s">
        <v>657</v>
      </c>
      <c r="X119" s="527" t="s">
        <v>657</v>
      </c>
    </row>
    <row r="120" spans="1:24" s="499" customFormat="1" x14ac:dyDescent="0.2">
      <c r="A120" s="522">
        <f t="shared" si="1"/>
        <v>-74</v>
      </c>
      <c r="B120" s="833" t="s">
        <v>657</v>
      </c>
      <c r="C120" s="524"/>
      <c r="D120" s="841" t="s">
        <v>657</v>
      </c>
      <c r="E120" s="839" t="s">
        <v>657</v>
      </c>
      <c r="F120" s="839" t="s">
        <v>657</v>
      </c>
      <c r="G120" s="836" t="s">
        <v>657</v>
      </c>
      <c r="H120" s="837" t="s">
        <v>657</v>
      </c>
      <c r="I120" s="872"/>
      <c r="J120" s="840" t="s">
        <v>657</v>
      </c>
      <c r="K120" s="525"/>
      <c r="L120" s="520" t="s">
        <v>657</v>
      </c>
      <c r="M120" s="526" t="s">
        <v>657</v>
      </c>
      <c r="N120" s="526" t="s">
        <v>657</v>
      </c>
      <c r="O120" s="516" t="s">
        <v>657</v>
      </c>
      <c r="P120" s="517" t="s">
        <v>657</v>
      </c>
      <c r="Q120" s="527" t="s">
        <v>657</v>
      </c>
      <c r="R120" s="525"/>
      <c r="S120" s="520" t="s">
        <v>657</v>
      </c>
      <c r="T120" s="526" t="s">
        <v>657</v>
      </c>
      <c r="U120" s="526" t="s">
        <v>657</v>
      </c>
      <c r="V120" s="516" t="s">
        <v>657</v>
      </c>
      <c r="W120" s="517" t="s">
        <v>657</v>
      </c>
      <c r="X120" s="527" t="s">
        <v>657</v>
      </c>
    </row>
    <row r="121" spans="1:24" s="499" customFormat="1" x14ac:dyDescent="0.2">
      <c r="A121" s="522">
        <f t="shared" si="1"/>
        <v>-75</v>
      </c>
      <c r="B121" s="833" t="s">
        <v>657</v>
      </c>
      <c r="C121" s="524"/>
      <c r="D121" s="841" t="s">
        <v>657</v>
      </c>
      <c r="E121" s="839" t="s">
        <v>657</v>
      </c>
      <c r="F121" s="839" t="s">
        <v>657</v>
      </c>
      <c r="G121" s="836" t="s">
        <v>657</v>
      </c>
      <c r="H121" s="837" t="s">
        <v>657</v>
      </c>
      <c r="I121" s="872"/>
      <c r="J121" s="840" t="s">
        <v>657</v>
      </c>
      <c r="K121" s="525"/>
      <c r="L121" s="520" t="s">
        <v>657</v>
      </c>
      <c r="M121" s="526" t="s">
        <v>657</v>
      </c>
      <c r="N121" s="526" t="s">
        <v>657</v>
      </c>
      <c r="O121" s="516" t="s">
        <v>657</v>
      </c>
      <c r="P121" s="517" t="s">
        <v>657</v>
      </c>
      <c r="Q121" s="527" t="s">
        <v>657</v>
      </c>
      <c r="R121" s="525"/>
      <c r="S121" s="520" t="s">
        <v>657</v>
      </c>
      <c r="T121" s="526" t="s">
        <v>657</v>
      </c>
      <c r="U121" s="526" t="s">
        <v>657</v>
      </c>
      <c r="V121" s="516" t="s">
        <v>657</v>
      </c>
      <c r="W121" s="517" t="s">
        <v>657</v>
      </c>
      <c r="X121" s="527" t="s">
        <v>657</v>
      </c>
    </row>
    <row r="122" spans="1:24" s="499" customFormat="1" x14ac:dyDescent="0.2">
      <c r="A122" s="522">
        <f t="shared" si="1"/>
        <v>-76</v>
      </c>
      <c r="B122" s="833" t="s">
        <v>657</v>
      </c>
      <c r="C122" s="524"/>
      <c r="D122" s="841" t="s">
        <v>657</v>
      </c>
      <c r="E122" s="839" t="s">
        <v>657</v>
      </c>
      <c r="F122" s="839" t="s">
        <v>657</v>
      </c>
      <c r="G122" s="836" t="s">
        <v>657</v>
      </c>
      <c r="H122" s="837" t="s">
        <v>657</v>
      </c>
      <c r="I122" s="872"/>
      <c r="J122" s="840" t="s">
        <v>657</v>
      </c>
      <c r="K122" s="525"/>
      <c r="L122" s="520" t="s">
        <v>657</v>
      </c>
      <c r="M122" s="526" t="s">
        <v>657</v>
      </c>
      <c r="N122" s="526" t="s">
        <v>657</v>
      </c>
      <c r="O122" s="516" t="s">
        <v>657</v>
      </c>
      <c r="P122" s="517" t="s">
        <v>657</v>
      </c>
      <c r="Q122" s="527" t="s">
        <v>657</v>
      </c>
      <c r="R122" s="525"/>
      <c r="S122" s="520" t="s">
        <v>657</v>
      </c>
      <c r="T122" s="526" t="s">
        <v>657</v>
      </c>
      <c r="U122" s="526" t="s">
        <v>657</v>
      </c>
      <c r="V122" s="516" t="s">
        <v>657</v>
      </c>
      <c r="W122" s="517" t="s">
        <v>657</v>
      </c>
      <c r="X122" s="527" t="s">
        <v>657</v>
      </c>
    </row>
    <row r="123" spans="1:24" s="499" customFormat="1" x14ac:dyDescent="0.2">
      <c r="A123" s="522">
        <f t="shared" si="1"/>
        <v>-77</v>
      </c>
      <c r="B123" s="833" t="s">
        <v>657</v>
      </c>
      <c r="C123" s="524"/>
      <c r="D123" s="841" t="s">
        <v>657</v>
      </c>
      <c r="E123" s="839" t="s">
        <v>657</v>
      </c>
      <c r="F123" s="839" t="s">
        <v>657</v>
      </c>
      <c r="G123" s="836" t="s">
        <v>657</v>
      </c>
      <c r="H123" s="837" t="s">
        <v>657</v>
      </c>
      <c r="I123" s="872"/>
      <c r="J123" s="840" t="s">
        <v>657</v>
      </c>
      <c r="K123" s="525"/>
      <c r="L123" s="520" t="s">
        <v>657</v>
      </c>
      <c r="M123" s="526" t="s">
        <v>657</v>
      </c>
      <c r="N123" s="526" t="s">
        <v>657</v>
      </c>
      <c r="O123" s="516" t="s">
        <v>657</v>
      </c>
      <c r="P123" s="517" t="s">
        <v>657</v>
      </c>
      <c r="Q123" s="527" t="s">
        <v>657</v>
      </c>
      <c r="R123" s="525"/>
      <c r="S123" s="520" t="s">
        <v>657</v>
      </c>
      <c r="T123" s="526" t="s">
        <v>657</v>
      </c>
      <c r="U123" s="526" t="s">
        <v>657</v>
      </c>
      <c r="V123" s="516" t="s">
        <v>657</v>
      </c>
      <c r="W123" s="517" t="s">
        <v>657</v>
      </c>
      <c r="X123" s="527" t="s">
        <v>657</v>
      </c>
    </row>
    <row r="124" spans="1:24" s="499" customFormat="1" x14ac:dyDescent="0.2">
      <c r="A124" s="522">
        <f t="shared" si="1"/>
        <v>-78</v>
      </c>
      <c r="B124" s="833" t="s">
        <v>657</v>
      </c>
      <c r="C124" s="524"/>
      <c r="D124" s="841" t="s">
        <v>657</v>
      </c>
      <c r="E124" s="839" t="s">
        <v>657</v>
      </c>
      <c r="F124" s="839" t="s">
        <v>657</v>
      </c>
      <c r="G124" s="836" t="s">
        <v>657</v>
      </c>
      <c r="H124" s="837" t="s">
        <v>657</v>
      </c>
      <c r="I124" s="872"/>
      <c r="J124" s="840" t="s">
        <v>657</v>
      </c>
      <c r="K124" s="525"/>
      <c r="L124" s="520" t="s">
        <v>657</v>
      </c>
      <c r="M124" s="526" t="s">
        <v>657</v>
      </c>
      <c r="N124" s="526" t="s">
        <v>657</v>
      </c>
      <c r="O124" s="516" t="s">
        <v>657</v>
      </c>
      <c r="P124" s="517" t="s">
        <v>657</v>
      </c>
      <c r="Q124" s="527" t="s">
        <v>657</v>
      </c>
      <c r="R124" s="525"/>
      <c r="S124" s="520" t="s">
        <v>657</v>
      </c>
      <c r="T124" s="526" t="s">
        <v>657</v>
      </c>
      <c r="U124" s="526" t="s">
        <v>657</v>
      </c>
      <c r="V124" s="516" t="s">
        <v>657</v>
      </c>
      <c r="W124" s="517" t="s">
        <v>657</v>
      </c>
      <c r="X124" s="527" t="s">
        <v>657</v>
      </c>
    </row>
    <row r="125" spans="1:24" s="499" customFormat="1" x14ac:dyDescent="0.2">
      <c r="A125" s="522">
        <f t="shared" si="1"/>
        <v>-79</v>
      </c>
      <c r="B125" s="833" t="s">
        <v>657</v>
      </c>
      <c r="C125" s="524"/>
      <c r="D125" s="841" t="s">
        <v>657</v>
      </c>
      <c r="E125" s="839" t="s">
        <v>657</v>
      </c>
      <c r="F125" s="839" t="s">
        <v>657</v>
      </c>
      <c r="G125" s="836" t="s">
        <v>657</v>
      </c>
      <c r="H125" s="837" t="s">
        <v>657</v>
      </c>
      <c r="I125" s="872"/>
      <c r="J125" s="840" t="s">
        <v>657</v>
      </c>
      <c r="K125" s="525"/>
      <c r="L125" s="520" t="s">
        <v>657</v>
      </c>
      <c r="M125" s="526" t="s">
        <v>657</v>
      </c>
      <c r="N125" s="526" t="s">
        <v>657</v>
      </c>
      <c r="O125" s="516" t="s">
        <v>657</v>
      </c>
      <c r="P125" s="517" t="s">
        <v>657</v>
      </c>
      <c r="Q125" s="527" t="s">
        <v>657</v>
      </c>
      <c r="R125" s="525"/>
      <c r="S125" s="520" t="s">
        <v>657</v>
      </c>
      <c r="T125" s="526" t="s">
        <v>657</v>
      </c>
      <c r="U125" s="526" t="s">
        <v>657</v>
      </c>
      <c r="V125" s="516" t="s">
        <v>657</v>
      </c>
      <c r="W125" s="517" t="s">
        <v>657</v>
      </c>
      <c r="X125" s="527" t="s">
        <v>657</v>
      </c>
    </row>
    <row r="126" spans="1:24" s="499" customFormat="1" x14ac:dyDescent="0.2">
      <c r="A126" s="522">
        <f t="shared" si="1"/>
        <v>-80</v>
      </c>
      <c r="B126" s="833" t="s">
        <v>657</v>
      </c>
      <c r="C126" s="524"/>
      <c r="D126" s="841" t="s">
        <v>657</v>
      </c>
      <c r="E126" s="839" t="s">
        <v>657</v>
      </c>
      <c r="F126" s="839" t="s">
        <v>657</v>
      </c>
      <c r="G126" s="836" t="s">
        <v>657</v>
      </c>
      <c r="H126" s="837" t="s">
        <v>657</v>
      </c>
      <c r="I126" s="872"/>
      <c r="J126" s="840" t="s">
        <v>657</v>
      </c>
      <c r="K126" s="525"/>
      <c r="L126" s="520" t="s">
        <v>657</v>
      </c>
      <c r="M126" s="526" t="s">
        <v>657</v>
      </c>
      <c r="N126" s="526" t="s">
        <v>657</v>
      </c>
      <c r="O126" s="516" t="s">
        <v>657</v>
      </c>
      <c r="P126" s="517" t="s">
        <v>657</v>
      </c>
      <c r="Q126" s="527" t="s">
        <v>657</v>
      </c>
      <c r="R126" s="525"/>
      <c r="S126" s="520" t="s">
        <v>657</v>
      </c>
      <c r="T126" s="526" t="s">
        <v>657</v>
      </c>
      <c r="U126" s="526" t="s">
        <v>657</v>
      </c>
      <c r="V126" s="516" t="s">
        <v>657</v>
      </c>
      <c r="W126" s="517" t="s">
        <v>657</v>
      </c>
      <c r="X126" s="527" t="s">
        <v>657</v>
      </c>
    </row>
    <row r="127" spans="1:24" s="499" customFormat="1" x14ac:dyDescent="0.2">
      <c r="A127" s="522">
        <f t="shared" si="1"/>
        <v>-81</v>
      </c>
      <c r="B127" s="833" t="s">
        <v>657</v>
      </c>
      <c r="C127" s="524"/>
      <c r="D127" s="841" t="s">
        <v>657</v>
      </c>
      <c r="E127" s="839" t="s">
        <v>657</v>
      </c>
      <c r="F127" s="839" t="s">
        <v>657</v>
      </c>
      <c r="G127" s="836" t="s">
        <v>657</v>
      </c>
      <c r="H127" s="837" t="s">
        <v>657</v>
      </c>
      <c r="I127" s="872"/>
      <c r="J127" s="840" t="s">
        <v>657</v>
      </c>
      <c r="K127" s="525"/>
      <c r="L127" s="520" t="s">
        <v>657</v>
      </c>
      <c r="M127" s="526" t="s">
        <v>657</v>
      </c>
      <c r="N127" s="526" t="s">
        <v>657</v>
      </c>
      <c r="O127" s="516" t="s">
        <v>657</v>
      </c>
      <c r="P127" s="517" t="s">
        <v>657</v>
      </c>
      <c r="Q127" s="527" t="s">
        <v>657</v>
      </c>
      <c r="R127" s="525"/>
      <c r="S127" s="520" t="s">
        <v>657</v>
      </c>
      <c r="T127" s="526" t="s">
        <v>657</v>
      </c>
      <c r="U127" s="526" t="s">
        <v>657</v>
      </c>
      <c r="V127" s="516" t="s">
        <v>657</v>
      </c>
      <c r="W127" s="517" t="s">
        <v>657</v>
      </c>
      <c r="X127" s="527" t="s">
        <v>657</v>
      </c>
    </row>
    <row r="128" spans="1:24" s="499" customFormat="1" x14ac:dyDescent="0.2">
      <c r="A128" s="522">
        <f t="shared" si="1"/>
        <v>-82</v>
      </c>
      <c r="B128" s="833" t="s">
        <v>657</v>
      </c>
      <c r="C128" s="524"/>
      <c r="D128" s="841" t="s">
        <v>657</v>
      </c>
      <c r="E128" s="839" t="s">
        <v>657</v>
      </c>
      <c r="F128" s="839" t="s">
        <v>657</v>
      </c>
      <c r="G128" s="836" t="s">
        <v>657</v>
      </c>
      <c r="H128" s="837" t="s">
        <v>657</v>
      </c>
      <c r="I128" s="872"/>
      <c r="J128" s="840" t="s">
        <v>657</v>
      </c>
      <c r="K128" s="525"/>
      <c r="L128" s="520" t="s">
        <v>657</v>
      </c>
      <c r="M128" s="526" t="s">
        <v>657</v>
      </c>
      <c r="N128" s="526" t="s">
        <v>657</v>
      </c>
      <c r="O128" s="516" t="s">
        <v>657</v>
      </c>
      <c r="P128" s="517" t="s">
        <v>657</v>
      </c>
      <c r="Q128" s="527" t="s">
        <v>657</v>
      </c>
      <c r="R128" s="525"/>
      <c r="S128" s="520" t="s">
        <v>657</v>
      </c>
      <c r="T128" s="526" t="s">
        <v>657</v>
      </c>
      <c r="U128" s="526" t="s">
        <v>657</v>
      </c>
      <c r="V128" s="516" t="s">
        <v>657</v>
      </c>
      <c r="W128" s="517" t="s">
        <v>657</v>
      </c>
      <c r="X128" s="527" t="s">
        <v>657</v>
      </c>
    </row>
    <row r="129" spans="1:24" s="499" customFormat="1" x14ac:dyDescent="0.2">
      <c r="A129" s="522">
        <f t="shared" si="1"/>
        <v>-83</v>
      </c>
      <c r="B129" s="833" t="s">
        <v>657</v>
      </c>
      <c r="C129" s="524"/>
      <c r="D129" s="841" t="s">
        <v>657</v>
      </c>
      <c r="E129" s="839" t="s">
        <v>657</v>
      </c>
      <c r="F129" s="839" t="s">
        <v>657</v>
      </c>
      <c r="G129" s="836" t="s">
        <v>657</v>
      </c>
      <c r="H129" s="837" t="s">
        <v>657</v>
      </c>
      <c r="I129" s="872"/>
      <c r="J129" s="840" t="s">
        <v>657</v>
      </c>
      <c r="K129" s="525"/>
      <c r="L129" s="520" t="s">
        <v>657</v>
      </c>
      <c r="M129" s="526" t="s">
        <v>657</v>
      </c>
      <c r="N129" s="526" t="s">
        <v>657</v>
      </c>
      <c r="O129" s="516" t="s">
        <v>657</v>
      </c>
      <c r="P129" s="517" t="s">
        <v>657</v>
      </c>
      <c r="Q129" s="527" t="s">
        <v>657</v>
      </c>
      <c r="R129" s="525"/>
      <c r="S129" s="520" t="s">
        <v>657</v>
      </c>
      <c r="T129" s="526" t="s">
        <v>657</v>
      </c>
      <c r="U129" s="526" t="s">
        <v>657</v>
      </c>
      <c r="V129" s="516" t="s">
        <v>657</v>
      </c>
      <c r="W129" s="517" t="s">
        <v>657</v>
      </c>
      <c r="X129" s="527" t="s">
        <v>657</v>
      </c>
    </row>
    <row r="130" spans="1:24" s="499" customFormat="1" x14ac:dyDescent="0.2">
      <c r="A130" s="522">
        <f t="shared" si="1"/>
        <v>-84</v>
      </c>
      <c r="B130" s="833" t="s">
        <v>657</v>
      </c>
      <c r="C130" s="524"/>
      <c r="D130" s="841" t="s">
        <v>657</v>
      </c>
      <c r="E130" s="839" t="s">
        <v>657</v>
      </c>
      <c r="F130" s="839" t="s">
        <v>657</v>
      </c>
      <c r="G130" s="836" t="s">
        <v>657</v>
      </c>
      <c r="H130" s="837" t="s">
        <v>657</v>
      </c>
      <c r="I130" s="872"/>
      <c r="J130" s="840" t="s">
        <v>657</v>
      </c>
      <c r="K130" s="525"/>
      <c r="L130" s="520" t="s">
        <v>657</v>
      </c>
      <c r="M130" s="526" t="s">
        <v>657</v>
      </c>
      <c r="N130" s="526" t="s">
        <v>657</v>
      </c>
      <c r="O130" s="516" t="s">
        <v>657</v>
      </c>
      <c r="P130" s="517" t="s">
        <v>657</v>
      </c>
      <c r="Q130" s="527" t="s">
        <v>657</v>
      </c>
      <c r="R130" s="525"/>
      <c r="S130" s="520" t="s">
        <v>657</v>
      </c>
      <c r="T130" s="526" t="s">
        <v>657</v>
      </c>
      <c r="U130" s="526" t="s">
        <v>657</v>
      </c>
      <c r="V130" s="516" t="s">
        <v>657</v>
      </c>
      <c r="W130" s="517" t="s">
        <v>657</v>
      </c>
      <c r="X130" s="527" t="s">
        <v>657</v>
      </c>
    </row>
    <row r="131" spans="1:24" s="499" customFormat="1" x14ac:dyDescent="0.2">
      <c r="A131" s="522">
        <f t="shared" si="1"/>
        <v>-85</v>
      </c>
      <c r="B131" s="833" t="s">
        <v>657</v>
      </c>
      <c r="C131" s="524"/>
      <c r="D131" s="841" t="s">
        <v>657</v>
      </c>
      <c r="E131" s="839" t="s">
        <v>657</v>
      </c>
      <c r="F131" s="839" t="s">
        <v>657</v>
      </c>
      <c r="G131" s="836" t="s">
        <v>657</v>
      </c>
      <c r="H131" s="837" t="s">
        <v>657</v>
      </c>
      <c r="I131" s="872"/>
      <c r="J131" s="840" t="s">
        <v>657</v>
      </c>
      <c r="K131" s="525"/>
      <c r="L131" s="520" t="s">
        <v>657</v>
      </c>
      <c r="M131" s="526" t="s">
        <v>657</v>
      </c>
      <c r="N131" s="526" t="s">
        <v>657</v>
      </c>
      <c r="O131" s="516" t="s">
        <v>657</v>
      </c>
      <c r="P131" s="517" t="s">
        <v>657</v>
      </c>
      <c r="Q131" s="527" t="s">
        <v>657</v>
      </c>
      <c r="R131" s="525"/>
      <c r="S131" s="520" t="s">
        <v>657</v>
      </c>
      <c r="T131" s="526" t="s">
        <v>657</v>
      </c>
      <c r="U131" s="526" t="s">
        <v>657</v>
      </c>
      <c r="V131" s="516" t="s">
        <v>657</v>
      </c>
      <c r="W131" s="517" t="s">
        <v>657</v>
      </c>
      <c r="X131" s="527" t="s">
        <v>657</v>
      </c>
    </row>
    <row r="132" spans="1:24" s="499" customFormat="1" x14ac:dyDescent="0.2">
      <c r="A132" s="522">
        <f t="shared" si="1"/>
        <v>-86</v>
      </c>
      <c r="B132" s="833" t="s">
        <v>657</v>
      </c>
      <c r="C132" s="524"/>
      <c r="D132" s="841" t="s">
        <v>657</v>
      </c>
      <c r="E132" s="839" t="s">
        <v>657</v>
      </c>
      <c r="F132" s="839" t="s">
        <v>657</v>
      </c>
      <c r="G132" s="836" t="s">
        <v>657</v>
      </c>
      <c r="H132" s="837" t="s">
        <v>657</v>
      </c>
      <c r="I132" s="872"/>
      <c r="J132" s="840" t="s">
        <v>657</v>
      </c>
      <c r="K132" s="525"/>
      <c r="L132" s="520" t="s">
        <v>657</v>
      </c>
      <c r="M132" s="526" t="s">
        <v>657</v>
      </c>
      <c r="N132" s="526" t="s">
        <v>657</v>
      </c>
      <c r="O132" s="516" t="s">
        <v>657</v>
      </c>
      <c r="P132" s="517" t="s">
        <v>657</v>
      </c>
      <c r="Q132" s="527" t="s">
        <v>657</v>
      </c>
      <c r="R132" s="525"/>
      <c r="S132" s="520" t="s">
        <v>657</v>
      </c>
      <c r="T132" s="526" t="s">
        <v>657</v>
      </c>
      <c r="U132" s="526" t="s">
        <v>657</v>
      </c>
      <c r="V132" s="516" t="s">
        <v>657</v>
      </c>
      <c r="W132" s="517" t="s">
        <v>657</v>
      </c>
      <c r="X132" s="527" t="s">
        <v>657</v>
      </c>
    </row>
    <row r="133" spans="1:24" s="499" customFormat="1" x14ac:dyDescent="0.2">
      <c r="A133" s="522">
        <f t="shared" si="1"/>
        <v>-87</v>
      </c>
      <c r="B133" s="833" t="s">
        <v>657</v>
      </c>
      <c r="C133" s="524"/>
      <c r="D133" s="841" t="s">
        <v>657</v>
      </c>
      <c r="E133" s="839" t="s">
        <v>657</v>
      </c>
      <c r="F133" s="839" t="s">
        <v>657</v>
      </c>
      <c r="G133" s="836" t="s">
        <v>657</v>
      </c>
      <c r="H133" s="837" t="s">
        <v>657</v>
      </c>
      <c r="I133" s="872"/>
      <c r="J133" s="840" t="s">
        <v>657</v>
      </c>
      <c r="K133" s="525"/>
      <c r="L133" s="520" t="s">
        <v>657</v>
      </c>
      <c r="M133" s="526" t="s">
        <v>657</v>
      </c>
      <c r="N133" s="526" t="s">
        <v>657</v>
      </c>
      <c r="O133" s="516" t="s">
        <v>657</v>
      </c>
      <c r="P133" s="517" t="s">
        <v>657</v>
      </c>
      <c r="Q133" s="527" t="s">
        <v>657</v>
      </c>
      <c r="R133" s="525"/>
      <c r="S133" s="520" t="s">
        <v>657</v>
      </c>
      <c r="T133" s="526" t="s">
        <v>657</v>
      </c>
      <c r="U133" s="526" t="s">
        <v>657</v>
      </c>
      <c r="V133" s="516" t="s">
        <v>657</v>
      </c>
      <c r="W133" s="517" t="s">
        <v>657</v>
      </c>
      <c r="X133" s="527" t="s">
        <v>657</v>
      </c>
    </row>
    <row r="134" spans="1:24" s="499" customFormat="1" x14ac:dyDescent="0.2">
      <c r="A134" s="522">
        <f t="shared" si="1"/>
        <v>-88</v>
      </c>
      <c r="B134" s="833" t="s">
        <v>657</v>
      </c>
      <c r="C134" s="524"/>
      <c r="D134" s="841" t="s">
        <v>657</v>
      </c>
      <c r="E134" s="839" t="s">
        <v>657</v>
      </c>
      <c r="F134" s="839" t="s">
        <v>657</v>
      </c>
      <c r="G134" s="836" t="s">
        <v>657</v>
      </c>
      <c r="H134" s="837" t="s">
        <v>657</v>
      </c>
      <c r="I134" s="872"/>
      <c r="J134" s="840" t="s">
        <v>657</v>
      </c>
      <c r="K134" s="525"/>
      <c r="L134" s="520" t="s">
        <v>657</v>
      </c>
      <c r="M134" s="526" t="s">
        <v>657</v>
      </c>
      <c r="N134" s="526" t="s">
        <v>657</v>
      </c>
      <c r="O134" s="516" t="s">
        <v>657</v>
      </c>
      <c r="P134" s="517" t="s">
        <v>657</v>
      </c>
      <c r="Q134" s="527" t="s">
        <v>657</v>
      </c>
      <c r="R134" s="525"/>
      <c r="S134" s="520" t="s">
        <v>657</v>
      </c>
      <c r="T134" s="526" t="s">
        <v>657</v>
      </c>
      <c r="U134" s="526" t="s">
        <v>657</v>
      </c>
      <c r="V134" s="516" t="s">
        <v>657</v>
      </c>
      <c r="W134" s="517" t="s">
        <v>657</v>
      </c>
      <c r="X134" s="527" t="s">
        <v>657</v>
      </c>
    </row>
    <row r="135" spans="1:24" s="499" customFormat="1" x14ac:dyDescent="0.2">
      <c r="A135" s="522">
        <f t="shared" si="1"/>
        <v>-89</v>
      </c>
      <c r="B135" s="833" t="s">
        <v>657</v>
      </c>
      <c r="C135" s="524"/>
      <c r="D135" s="841" t="s">
        <v>657</v>
      </c>
      <c r="E135" s="839" t="s">
        <v>657</v>
      </c>
      <c r="F135" s="839" t="s">
        <v>657</v>
      </c>
      <c r="G135" s="836" t="s">
        <v>657</v>
      </c>
      <c r="H135" s="837" t="s">
        <v>657</v>
      </c>
      <c r="I135" s="872"/>
      <c r="J135" s="840" t="s">
        <v>657</v>
      </c>
      <c r="K135" s="525"/>
      <c r="L135" s="520" t="s">
        <v>657</v>
      </c>
      <c r="M135" s="526" t="s">
        <v>657</v>
      </c>
      <c r="N135" s="526" t="s">
        <v>657</v>
      </c>
      <c r="O135" s="516" t="s">
        <v>657</v>
      </c>
      <c r="P135" s="517" t="s">
        <v>657</v>
      </c>
      <c r="Q135" s="527" t="s">
        <v>657</v>
      </c>
      <c r="R135" s="525"/>
      <c r="S135" s="520" t="s">
        <v>657</v>
      </c>
      <c r="T135" s="526" t="s">
        <v>657</v>
      </c>
      <c r="U135" s="526" t="s">
        <v>657</v>
      </c>
      <c r="V135" s="516" t="s">
        <v>657</v>
      </c>
      <c r="W135" s="517" t="s">
        <v>657</v>
      </c>
      <c r="X135" s="527" t="s">
        <v>657</v>
      </c>
    </row>
    <row r="136" spans="1:24" s="499" customFormat="1" x14ac:dyDescent="0.2">
      <c r="A136" s="522">
        <f t="shared" si="1"/>
        <v>-90</v>
      </c>
      <c r="B136" s="833" t="s">
        <v>657</v>
      </c>
      <c r="C136" s="524"/>
      <c r="D136" s="841" t="s">
        <v>657</v>
      </c>
      <c r="E136" s="839" t="s">
        <v>657</v>
      </c>
      <c r="F136" s="839" t="s">
        <v>657</v>
      </c>
      <c r="G136" s="836" t="s">
        <v>657</v>
      </c>
      <c r="H136" s="837" t="s">
        <v>657</v>
      </c>
      <c r="I136" s="872"/>
      <c r="J136" s="840" t="s">
        <v>657</v>
      </c>
      <c r="K136" s="525"/>
      <c r="L136" s="520" t="s">
        <v>657</v>
      </c>
      <c r="M136" s="526" t="s">
        <v>657</v>
      </c>
      <c r="N136" s="526" t="s">
        <v>657</v>
      </c>
      <c r="O136" s="516" t="s">
        <v>657</v>
      </c>
      <c r="P136" s="517" t="s">
        <v>657</v>
      </c>
      <c r="Q136" s="527" t="s">
        <v>657</v>
      </c>
      <c r="R136" s="525"/>
      <c r="S136" s="520" t="s">
        <v>657</v>
      </c>
      <c r="T136" s="526" t="s">
        <v>657</v>
      </c>
      <c r="U136" s="526" t="s">
        <v>657</v>
      </c>
      <c r="V136" s="516" t="s">
        <v>657</v>
      </c>
      <c r="W136" s="517" t="s">
        <v>657</v>
      </c>
      <c r="X136" s="527" t="s">
        <v>657</v>
      </c>
    </row>
    <row r="137" spans="1:24" s="499" customFormat="1" x14ac:dyDescent="0.2">
      <c r="A137" s="522">
        <f t="shared" si="1"/>
        <v>-91</v>
      </c>
      <c r="B137" s="833" t="s">
        <v>657</v>
      </c>
      <c r="C137" s="524"/>
      <c r="D137" s="841" t="s">
        <v>657</v>
      </c>
      <c r="E137" s="839" t="s">
        <v>657</v>
      </c>
      <c r="F137" s="839" t="s">
        <v>657</v>
      </c>
      <c r="G137" s="836" t="s">
        <v>657</v>
      </c>
      <c r="H137" s="837" t="s">
        <v>657</v>
      </c>
      <c r="I137" s="872"/>
      <c r="J137" s="840" t="s">
        <v>657</v>
      </c>
      <c r="K137" s="525"/>
      <c r="L137" s="520" t="s">
        <v>657</v>
      </c>
      <c r="M137" s="526" t="s">
        <v>657</v>
      </c>
      <c r="N137" s="526" t="s">
        <v>657</v>
      </c>
      <c r="O137" s="516" t="s">
        <v>657</v>
      </c>
      <c r="P137" s="517" t="s">
        <v>657</v>
      </c>
      <c r="Q137" s="527" t="s">
        <v>657</v>
      </c>
      <c r="R137" s="525"/>
      <c r="S137" s="520" t="s">
        <v>657</v>
      </c>
      <c r="T137" s="526" t="s">
        <v>657</v>
      </c>
      <c r="U137" s="526" t="s">
        <v>657</v>
      </c>
      <c r="V137" s="516" t="s">
        <v>657</v>
      </c>
      <c r="W137" s="517" t="s">
        <v>657</v>
      </c>
      <c r="X137" s="527" t="s">
        <v>657</v>
      </c>
    </row>
    <row r="138" spans="1:24" s="499" customFormat="1" x14ac:dyDescent="0.2">
      <c r="A138" s="522">
        <f t="shared" si="1"/>
        <v>-92</v>
      </c>
      <c r="B138" s="833" t="s">
        <v>657</v>
      </c>
      <c r="C138" s="524"/>
      <c r="D138" s="841" t="s">
        <v>657</v>
      </c>
      <c r="E138" s="839" t="s">
        <v>657</v>
      </c>
      <c r="F138" s="839" t="s">
        <v>657</v>
      </c>
      <c r="G138" s="836" t="s">
        <v>657</v>
      </c>
      <c r="H138" s="837" t="s">
        <v>657</v>
      </c>
      <c r="I138" s="872"/>
      <c r="J138" s="840" t="s">
        <v>657</v>
      </c>
      <c r="K138" s="525"/>
      <c r="L138" s="520" t="s">
        <v>657</v>
      </c>
      <c r="M138" s="526" t="s">
        <v>657</v>
      </c>
      <c r="N138" s="526" t="s">
        <v>657</v>
      </c>
      <c r="O138" s="516" t="s">
        <v>657</v>
      </c>
      <c r="P138" s="517" t="s">
        <v>657</v>
      </c>
      <c r="Q138" s="527" t="s">
        <v>657</v>
      </c>
      <c r="R138" s="525"/>
      <c r="S138" s="520" t="s">
        <v>657</v>
      </c>
      <c r="T138" s="526" t="s">
        <v>657</v>
      </c>
      <c r="U138" s="526" t="s">
        <v>657</v>
      </c>
      <c r="V138" s="516" t="s">
        <v>657</v>
      </c>
      <c r="W138" s="517" t="s">
        <v>657</v>
      </c>
      <c r="X138" s="527" t="s">
        <v>657</v>
      </c>
    </row>
    <row r="139" spans="1:24" s="499" customFormat="1" x14ac:dyDescent="0.2">
      <c r="A139" s="522">
        <f t="shared" si="1"/>
        <v>-93</v>
      </c>
      <c r="B139" s="833" t="s">
        <v>657</v>
      </c>
      <c r="C139" s="524"/>
      <c r="D139" s="841" t="s">
        <v>657</v>
      </c>
      <c r="E139" s="839" t="s">
        <v>657</v>
      </c>
      <c r="F139" s="839" t="s">
        <v>657</v>
      </c>
      <c r="G139" s="836" t="s">
        <v>657</v>
      </c>
      <c r="H139" s="837" t="s">
        <v>657</v>
      </c>
      <c r="I139" s="872"/>
      <c r="J139" s="840" t="s">
        <v>657</v>
      </c>
      <c r="K139" s="525"/>
      <c r="L139" s="520" t="s">
        <v>657</v>
      </c>
      <c r="M139" s="526" t="s">
        <v>657</v>
      </c>
      <c r="N139" s="526" t="s">
        <v>657</v>
      </c>
      <c r="O139" s="516" t="s">
        <v>657</v>
      </c>
      <c r="P139" s="517" t="s">
        <v>657</v>
      </c>
      <c r="Q139" s="527" t="s">
        <v>657</v>
      </c>
      <c r="R139" s="525"/>
      <c r="S139" s="520" t="s">
        <v>657</v>
      </c>
      <c r="T139" s="526" t="s">
        <v>657</v>
      </c>
      <c r="U139" s="526" t="s">
        <v>657</v>
      </c>
      <c r="V139" s="516" t="s">
        <v>657</v>
      </c>
      <c r="W139" s="517" t="s">
        <v>657</v>
      </c>
      <c r="X139" s="527" t="s">
        <v>657</v>
      </c>
    </row>
    <row r="140" spans="1:24" s="499" customFormat="1" x14ac:dyDescent="0.2">
      <c r="A140" s="522">
        <f t="shared" si="1"/>
        <v>-94</v>
      </c>
      <c r="B140" s="833" t="s">
        <v>657</v>
      </c>
      <c r="C140" s="524"/>
      <c r="D140" s="841" t="s">
        <v>657</v>
      </c>
      <c r="E140" s="839" t="s">
        <v>657</v>
      </c>
      <c r="F140" s="839" t="s">
        <v>657</v>
      </c>
      <c r="G140" s="836" t="s">
        <v>657</v>
      </c>
      <c r="H140" s="837" t="s">
        <v>657</v>
      </c>
      <c r="I140" s="872"/>
      <c r="J140" s="840" t="s">
        <v>657</v>
      </c>
      <c r="K140" s="525"/>
      <c r="L140" s="520" t="s">
        <v>657</v>
      </c>
      <c r="M140" s="526" t="s">
        <v>657</v>
      </c>
      <c r="N140" s="526" t="s">
        <v>657</v>
      </c>
      <c r="O140" s="516" t="s">
        <v>657</v>
      </c>
      <c r="P140" s="517" t="s">
        <v>657</v>
      </c>
      <c r="Q140" s="527" t="s">
        <v>657</v>
      </c>
      <c r="R140" s="525"/>
      <c r="S140" s="520" t="s">
        <v>657</v>
      </c>
      <c r="T140" s="526" t="s">
        <v>657</v>
      </c>
      <c r="U140" s="526" t="s">
        <v>657</v>
      </c>
      <c r="V140" s="516" t="s">
        <v>657</v>
      </c>
      <c r="W140" s="517" t="s">
        <v>657</v>
      </c>
      <c r="X140" s="527" t="s">
        <v>657</v>
      </c>
    </row>
    <row r="141" spans="1:24" s="499" customFormat="1" x14ac:dyDescent="0.2">
      <c r="A141" s="522">
        <f t="shared" si="1"/>
        <v>-95</v>
      </c>
      <c r="B141" s="833" t="s">
        <v>657</v>
      </c>
      <c r="C141" s="524"/>
      <c r="D141" s="841" t="s">
        <v>657</v>
      </c>
      <c r="E141" s="839" t="s">
        <v>657</v>
      </c>
      <c r="F141" s="839" t="s">
        <v>657</v>
      </c>
      <c r="G141" s="836" t="s">
        <v>657</v>
      </c>
      <c r="H141" s="837" t="s">
        <v>657</v>
      </c>
      <c r="I141" s="872"/>
      <c r="J141" s="840" t="s">
        <v>657</v>
      </c>
      <c r="K141" s="525"/>
      <c r="L141" s="520" t="s">
        <v>657</v>
      </c>
      <c r="M141" s="526" t="s">
        <v>657</v>
      </c>
      <c r="N141" s="526" t="s">
        <v>657</v>
      </c>
      <c r="O141" s="516" t="s">
        <v>657</v>
      </c>
      <c r="P141" s="517" t="s">
        <v>657</v>
      </c>
      <c r="Q141" s="527" t="s">
        <v>657</v>
      </c>
      <c r="R141" s="525"/>
      <c r="S141" s="520" t="s">
        <v>657</v>
      </c>
      <c r="T141" s="526" t="s">
        <v>657</v>
      </c>
      <c r="U141" s="526" t="s">
        <v>657</v>
      </c>
      <c r="V141" s="516" t="s">
        <v>657</v>
      </c>
      <c r="W141" s="517" t="s">
        <v>657</v>
      </c>
      <c r="X141" s="527" t="s">
        <v>657</v>
      </c>
    </row>
    <row r="142" spans="1:24" s="499" customFormat="1" x14ac:dyDescent="0.2">
      <c r="A142" s="522">
        <f t="shared" si="1"/>
        <v>-96</v>
      </c>
      <c r="B142" s="833" t="s">
        <v>657</v>
      </c>
      <c r="C142" s="524"/>
      <c r="D142" s="841" t="s">
        <v>657</v>
      </c>
      <c r="E142" s="839" t="s">
        <v>657</v>
      </c>
      <c r="F142" s="839" t="s">
        <v>657</v>
      </c>
      <c r="G142" s="836" t="s">
        <v>657</v>
      </c>
      <c r="H142" s="837" t="s">
        <v>657</v>
      </c>
      <c r="I142" s="872"/>
      <c r="J142" s="840" t="s">
        <v>657</v>
      </c>
      <c r="K142" s="525"/>
      <c r="L142" s="520" t="s">
        <v>657</v>
      </c>
      <c r="M142" s="526" t="s">
        <v>657</v>
      </c>
      <c r="N142" s="526" t="s">
        <v>657</v>
      </c>
      <c r="O142" s="516" t="s">
        <v>657</v>
      </c>
      <c r="P142" s="517" t="s">
        <v>657</v>
      </c>
      <c r="Q142" s="527" t="s">
        <v>657</v>
      </c>
      <c r="R142" s="525"/>
      <c r="S142" s="520" t="s">
        <v>657</v>
      </c>
      <c r="T142" s="526" t="s">
        <v>657</v>
      </c>
      <c r="U142" s="526" t="s">
        <v>657</v>
      </c>
      <c r="V142" s="516" t="s">
        <v>657</v>
      </c>
      <c r="W142" s="517" t="s">
        <v>657</v>
      </c>
      <c r="X142" s="527" t="s">
        <v>657</v>
      </c>
    </row>
    <row r="143" spans="1:24" s="499" customFormat="1" x14ac:dyDescent="0.2">
      <c r="A143" s="522">
        <f t="shared" si="1"/>
        <v>-97</v>
      </c>
      <c r="B143" s="833" t="s">
        <v>657</v>
      </c>
      <c r="C143" s="524"/>
      <c r="D143" s="841" t="s">
        <v>657</v>
      </c>
      <c r="E143" s="839" t="s">
        <v>657</v>
      </c>
      <c r="F143" s="839" t="s">
        <v>657</v>
      </c>
      <c r="G143" s="836" t="s">
        <v>657</v>
      </c>
      <c r="H143" s="837" t="s">
        <v>657</v>
      </c>
      <c r="I143" s="872"/>
      <c r="J143" s="840" t="s">
        <v>657</v>
      </c>
      <c r="K143" s="525"/>
      <c r="L143" s="520" t="s">
        <v>657</v>
      </c>
      <c r="M143" s="526" t="s">
        <v>657</v>
      </c>
      <c r="N143" s="526" t="s">
        <v>657</v>
      </c>
      <c r="O143" s="516" t="s">
        <v>657</v>
      </c>
      <c r="P143" s="517" t="s">
        <v>657</v>
      </c>
      <c r="Q143" s="527" t="s">
        <v>657</v>
      </c>
      <c r="R143" s="525"/>
      <c r="S143" s="520" t="s">
        <v>657</v>
      </c>
      <c r="T143" s="526" t="s">
        <v>657</v>
      </c>
      <c r="U143" s="526" t="s">
        <v>657</v>
      </c>
      <c r="V143" s="516" t="s">
        <v>657</v>
      </c>
      <c r="W143" s="517" t="s">
        <v>657</v>
      </c>
      <c r="X143" s="527" t="s">
        <v>657</v>
      </c>
    </row>
    <row r="144" spans="1:24" s="499" customFormat="1" x14ac:dyDescent="0.2">
      <c r="A144" s="522">
        <f t="shared" si="1"/>
        <v>-98</v>
      </c>
      <c r="B144" s="833" t="s">
        <v>657</v>
      </c>
      <c r="C144" s="524"/>
      <c r="D144" s="841" t="s">
        <v>657</v>
      </c>
      <c r="E144" s="839" t="s">
        <v>657</v>
      </c>
      <c r="F144" s="839" t="s">
        <v>657</v>
      </c>
      <c r="G144" s="836" t="s">
        <v>657</v>
      </c>
      <c r="H144" s="837" t="s">
        <v>657</v>
      </c>
      <c r="I144" s="872"/>
      <c r="J144" s="840" t="s">
        <v>657</v>
      </c>
      <c r="K144" s="525"/>
      <c r="L144" s="520" t="s">
        <v>657</v>
      </c>
      <c r="M144" s="526" t="s">
        <v>657</v>
      </c>
      <c r="N144" s="526" t="s">
        <v>657</v>
      </c>
      <c r="O144" s="516" t="s">
        <v>657</v>
      </c>
      <c r="P144" s="517" t="s">
        <v>657</v>
      </c>
      <c r="Q144" s="527" t="s">
        <v>657</v>
      </c>
      <c r="R144" s="525"/>
      <c r="S144" s="520" t="s">
        <v>657</v>
      </c>
      <c r="T144" s="526" t="s">
        <v>657</v>
      </c>
      <c r="U144" s="526" t="s">
        <v>657</v>
      </c>
      <c r="V144" s="516" t="s">
        <v>657</v>
      </c>
      <c r="W144" s="517" t="s">
        <v>657</v>
      </c>
      <c r="X144" s="527" t="s">
        <v>657</v>
      </c>
    </row>
    <row r="145" spans="1:24" s="499" customFormat="1" x14ac:dyDescent="0.2">
      <c r="A145" s="522">
        <f t="shared" si="1"/>
        <v>-99</v>
      </c>
      <c r="B145" s="833" t="s">
        <v>657</v>
      </c>
      <c r="C145" s="524"/>
      <c r="D145" s="841" t="s">
        <v>657</v>
      </c>
      <c r="E145" s="839" t="s">
        <v>657</v>
      </c>
      <c r="F145" s="839" t="s">
        <v>657</v>
      </c>
      <c r="G145" s="836" t="s">
        <v>657</v>
      </c>
      <c r="H145" s="837" t="s">
        <v>657</v>
      </c>
      <c r="I145" s="872"/>
      <c r="J145" s="840" t="s">
        <v>657</v>
      </c>
      <c r="K145" s="525"/>
      <c r="L145" s="520" t="s">
        <v>657</v>
      </c>
      <c r="M145" s="526" t="s">
        <v>657</v>
      </c>
      <c r="N145" s="526" t="s">
        <v>657</v>
      </c>
      <c r="O145" s="516" t="s">
        <v>657</v>
      </c>
      <c r="P145" s="517" t="s">
        <v>657</v>
      </c>
      <c r="Q145" s="527" t="s">
        <v>657</v>
      </c>
      <c r="R145" s="525"/>
      <c r="S145" s="520" t="s">
        <v>657</v>
      </c>
      <c r="T145" s="526" t="s">
        <v>657</v>
      </c>
      <c r="U145" s="526" t="s">
        <v>657</v>
      </c>
      <c r="V145" s="516" t="s">
        <v>657</v>
      </c>
      <c r="W145" s="517" t="s">
        <v>657</v>
      </c>
      <c r="X145" s="527" t="s">
        <v>657</v>
      </c>
    </row>
    <row r="146" spans="1:24" s="499" customFormat="1" x14ac:dyDescent="0.2">
      <c r="A146" s="522">
        <f t="shared" si="1"/>
        <v>-100</v>
      </c>
      <c r="B146" s="833" t="s">
        <v>657</v>
      </c>
      <c r="C146" s="524"/>
      <c r="D146" s="841" t="s">
        <v>657</v>
      </c>
      <c r="E146" s="839" t="s">
        <v>657</v>
      </c>
      <c r="F146" s="839" t="s">
        <v>657</v>
      </c>
      <c r="G146" s="836" t="s">
        <v>657</v>
      </c>
      <c r="H146" s="837" t="s">
        <v>657</v>
      </c>
      <c r="I146" s="872"/>
      <c r="J146" s="840" t="s">
        <v>657</v>
      </c>
      <c r="K146" s="525"/>
      <c r="L146" s="520" t="s">
        <v>657</v>
      </c>
      <c r="M146" s="526" t="s">
        <v>657</v>
      </c>
      <c r="N146" s="526" t="s">
        <v>657</v>
      </c>
      <c r="O146" s="516" t="s">
        <v>657</v>
      </c>
      <c r="P146" s="517" t="s">
        <v>657</v>
      </c>
      <c r="Q146" s="527" t="s">
        <v>657</v>
      </c>
      <c r="R146" s="525"/>
      <c r="S146" s="520" t="s">
        <v>657</v>
      </c>
      <c r="T146" s="526" t="s">
        <v>657</v>
      </c>
      <c r="U146" s="526" t="s">
        <v>657</v>
      </c>
      <c r="V146" s="516" t="s">
        <v>657</v>
      </c>
      <c r="W146" s="517" t="s">
        <v>657</v>
      </c>
      <c r="X146" s="527" t="s">
        <v>657</v>
      </c>
    </row>
    <row r="147" spans="1:24" s="499" customFormat="1" x14ac:dyDescent="0.2">
      <c r="A147" s="522">
        <f t="shared" si="1"/>
        <v>-101</v>
      </c>
      <c r="B147" s="833" t="s">
        <v>657</v>
      </c>
      <c r="C147" s="524"/>
      <c r="D147" s="841" t="s">
        <v>657</v>
      </c>
      <c r="E147" s="839" t="s">
        <v>657</v>
      </c>
      <c r="F147" s="839" t="s">
        <v>657</v>
      </c>
      <c r="G147" s="836" t="s">
        <v>657</v>
      </c>
      <c r="H147" s="837" t="s">
        <v>657</v>
      </c>
      <c r="I147" s="872"/>
      <c r="J147" s="840" t="s">
        <v>657</v>
      </c>
      <c r="K147" s="525"/>
      <c r="L147" s="520" t="s">
        <v>657</v>
      </c>
      <c r="M147" s="526" t="s">
        <v>657</v>
      </c>
      <c r="N147" s="526" t="s">
        <v>657</v>
      </c>
      <c r="O147" s="516" t="s">
        <v>657</v>
      </c>
      <c r="P147" s="517" t="s">
        <v>657</v>
      </c>
      <c r="Q147" s="527" t="s">
        <v>657</v>
      </c>
      <c r="R147" s="525"/>
      <c r="S147" s="520" t="s">
        <v>657</v>
      </c>
      <c r="T147" s="526" t="s">
        <v>657</v>
      </c>
      <c r="U147" s="526" t="s">
        <v>657</v>
      </c>
      <c r="V147" s="516" t="s">
        <v>657</v>
      </c>
      <c r="W147" s="517" t="s">
        <v>657</v>
      </c>
      <c r="X147" s="527" t="s">
        <v>657</v>
      </c>
    </row>
    <row r="148" spans="1:24" s="499" customFormat="1" x14ac:dyDescent="0.2">
      <c r="A148" s="522">
        <f t="shared" si="1"/>
        <v>-102</v>
      </c>
      <c r="B148" s="833" t="s">
        <v>657</v>
      </c>
      <c r="C148" s="524"/>
      <c r="D148" s="841" t="s">
        <v>657</v>
      </c>
      <c r="E148" s="839" t="s">
        <v>657</v>
      </c>
      <c r="F148" s="839" t="s">
        <v>657</v>
      </c>
      <c r="G148" s="836" t="s">
        <v>657</v>
      </c>
      <c r="H148" s="837" t="s">
        <v>657</v>
      </c>
      <c r="I148" s="872"/>
      <c r="J148" s="840" t="s">
        <v>657</v>
      </c>
      <c r="K148" s="525"/>
      <c r="L148" s="520" t="s">
        <v>657</v>
      </c>
      <c r="M148" s="526" t="s">
        <v>657</v>
      </c>
      <c r="N148" s="526" t="s">
        <v>657</v>
      </c>
      <c r="O148" s="516" t="s">
        <v>657</v>
      </c>
      <c r="P148" s="517" t="s">
        <v>657</v>
      </c>
      <c r="Q148" s="527" t="s">
        <v>657</v>
      </c>
      <c r="R148" s="525"/>
      <c r="S148" s="520" t="s">
        <v>657</v>
      </c>
      <c r="T148" s="526" t="s">
        <v>657</v>
      </c>
      <c r="U148" s="526" t="s">
        <v>657</v>
      </c>
      <c r="V148" s="516" t="s">
        <v>657</v>
      </c>
      <c r="W148" s="517" t="s">
        <v>657</v>
      </c>
      <c r="X148" s="527" t="s">
        <v>657</v>
      </c>
    </row>
    <row r="149" spans="1:24" s="499" customFormat="1" x14ac:dyDescent="0.2">
      <c r="A149" s="522">
        <f t="shared" si="1"/>
        <v>-103</v>
      </c>
      <c r="B149" s="833" t="s">
        <v>657</v>
      </c>
      <c r="C149" s="524"/>
      <c r="D149" s="841" t="s">
        <v>657</v>
      </c>
      <c r="E149" s="839" t="s">
        <v>657</v>
      </c>
      <c r="F149" s="839" t="s">
        <v>657</v>
      </c>
      <c r="G149" s="836" t="s">
        <v>657</v>
      </c>
      <c r="H149" s="837" t="s">
        <v>657</v>
      </c>
      <c r="I149" s="872"/>
      <c r="J149" s="840" t="s">
        <v>657</v>
      </c>
      <c r="K149" s="525"/>
      <c r="L149" s="520" t="s">
        <v>657</v>
      </c>
      <c r="M149" s="526" t="s">
        <v>657</v>
      </c>
      <c r="N149" s="526" t="s">
        <v>657</v>
      </c>
      <c r="O149" s="516" t="s">
        <v>657</v>
      </c>
      <c r="P149" s="517" t="s">
        <v>657</v>
      </c>
      <c r="Q149" s="527" t="s">
        <v>657</v>
      </c>
      <c r="R149" s="525"/>
      <c r="S149" s="520" t="s">
        <v>657</v>
      </c>
      <c r="T149" s="526" t="s">
        <v>657</v>
      </c>
      <c r="U149" s="526" t="s">
        <v>657</v>
      </c>
      <c r="V149" s="516" t="s">
        <v>657</v>
      </c>
      <c r="W149" s="517" t="s">
        <v>657</v>
      </c>
      <c r="X149" s="527" t="s">
        <v>657</v>
      </c>
    </row>
    <row r="150" spans="1:24" s="499" customFormat="1" x14ac:dyDescent="0.2">
      <c r="A150" s="522">
        <f t="shared" si="1"/>
        <v>-104</v>
      </c>
      <c r="B150" s="833" t="s">
        <v>657</v>
      </c>
      <c r="C150" s="524"/>
      <c r="D150" s="841" t="s">
        <v>657</v>
      </c>
      <c r="E150" s="839" t="s">
        <v>657</v>
      </c>
      <c r="F150" s="839" t="s">
        <v>657</v>
      </c>
      <c r="G150" s="836" t="s">
        <v>657</v>
      </c>
      <c r="H150" s="837" t="s">
        <v>657</v>
      </c>
      <c r="I150" s="872"/>
      <c r="J150" s="840" t="s">
        <v>657</v>
      </c>
      <c r="K150" s="525"/>
      <c r="L150" s="520" t="s">
        <v>657</v>
      </c>
      <c r="M150" s="526" t="s">
        <v>657</v>
      </c>
      <c r="N150" s="526" t="s">
        <v>657</v>
      </c>
      <c r="O150" s="516" t="s">
        <v>657</v>
      </c>
      <c r="P150" s="517" t="s">
        <v>657</v>
      </c>
      <c r="Q150" s="527" t="s">
        <v>657</v>
      </c>
      <c r="R150" s="525"/>
      <c r="S150" s="520" t="s">
        <v>657</v>
      </c>
      <c r="T150" s="526" t="s">
        <v>657</v>
      </c>
      <c r="U150" s="526" t="s">
        <v>657</v>
      </c>
      <c r="V150" s="516" t="s">
        <v>657</v>
      </c>
      <c r="W150" s="517" t="s">
        <v>657</v>
      </c>
      <c r="X150" s="527" t="s">
        <v>657</v>
      </c>
    </row>
    <row r="151" spans="1:24" s="499" customFormat="1" x14ac:dyDescent="0.2">
      <c r="A151" s="522">
        <f t="shared" si="1"/>
        <v>-105</v>
      </c>
      <c r="B151" s="833" t="s">
        <v>657</v>
      </c>
      <c r="C151" s="524"/>
      <c r="D151" s="841" t="s">
        <v>657</v>
      </c>
      <c r="E151" s="839" t="s">
        <v>657</v>
      </c>
      <c r="F151" s="839" t="s">
        <v>657</v>
      </c>
      <c r="G151" s="836" t="s">
        <v>657</v>
      </c>
      <c r="H151" s="837" t="s">
        <v>657</v>
      </c>
      <c r="I151" s="872"/>
      <c r="J151" s="840" t="s">
        <v>657</v>
      </c>
      <c r="K151" s="525"/>
      <c r="L151" s="520" t="s">
        <v>657</v>
      </c>
      <c r="M151" s="526" t="s">
        <v>657</v>
      </c>
      <c r="N151" s="526" t="s">
        <v>657</v>
      </c>
      <c r="O151" s="516" t="s">
        <v>657</v>
      </c>
      <c r="P151" s="517" t="s">
        <v>657</v>
      </c>
      <c r="Q151" s="527" t="s">
        <v>657</v>
      </c>
      <c r="R151" s="525"/>
      <c r="S151" s="520" t="s">
        <v>657</v>
      </c>
      <c r="T151" s="526" t="s">
        <v>657</v>
      </c>
      <c r="U151" s="526" t="s">
        <v>657</v>
      </c>
      <c r="V151" s="516" t="s">
        <v>657</v>
      </c>
      <c r="W151" s="517" t="s">
        <v>657</v>
      </c>
      <c r="X151" s="527" t="s">
        <v>657</v>
      </c>
    </row>
    <row r="152" spans="1:24" s="499" customFormat="1" x14ac:dyDescent="0.2">
      <c r="A152" s="522">
        <f t="shared" si="1"/>
        <v>-106</v>
      </c>
      <c r="B152" s="833" t="s">
        <v>657</v>
      </c>
      <c r="C152" s="524"/>
      <c r="D152" s="841" t="s">
        <v>657</v>
      </c>
      <c r="E152" s="839" t="s">
        <v>657</v>
      </c>
      <c r="F152" s="839" t="s">
        <v>657</v>
      </c>
      <c r="G152" s="836" t="s">
        <v>657</v>
      </c>
      <c r="H152" s="837" t="s">
        <v>657</v>
      </c>
      <c r="I152" s="872"/>
      <c r="J152" s="840" t="s">
        <v>657</v>
      </c>
      <c r="K152" s="525"/>
      <c r="L152" s="520" t="s">
        <v>657</v>
      </c>
      <c r="M152" s="526" t="s">
        <v>657</v>
      </c>
      <c r="N152" s="526" t="s">
        <v>657</v>
      </c>
      <c r="O152" s="516" t="s">
        <v>657</v>
      </c>
      <c r="P152" s="517" t="s">
        <v>657</v>
      </c>
      <c r="Q152" s="527" t="s">
        <v>657</v>
      </c>
      <c r="R152" s="525"/>
      <c r="S152" s="520" t="s">
        <v>657</v>
      </c>
      <c r="T152" s="526" t="s">
        <v>657</v>
      </c>
      <c r="U152" s="526" t="s">
        <v>657</v>
      </c>
      <c r="V152" s="516" t="s">
        <v>657</v>
      </c>
      <c r="W152" s="517" t="s">
        <v>657</v>
      </c>
      <c r="X152" s="527" t="s">
        <v>657</v>
      </c>
    </row>
    <row r="153" spans="1:24" s="499" customFormat="1" x14ac:dyDescent="0.2">
      <c r="A153" s="522">
        <f t="shared" si="1"/>
        <v>-107</v>
      </c>
      <c r="B153" s="833" t="s">
        <v>657</v>
      </c>
      <c r="C153" s="524"/>
      <c r="D153" s="841" t="s">
        <v>657</v>
      </c>
      <c r="E153" s="839" t="s">
        <v>657</v>
      </c>
      <c r="F153" s="839" t="s">
        <v>657</v>
      </c>
      <c r="G153" s="836" t="s">
        <v>657</v>
      </c>
      <c r="H153" s="837" t="s">
        <v>657</v>
      </c>
      <c r="I153" s="872"/>
      <c r="J153" s="840" t="s">
        <v>657</v>
      </c>
      <c r="K153" s="525"/>
      <c r="L153" s="520" t="s">
        <v>657</v>
      </c>
      <c r="M153" s="526" t="s">
        <v>657</v>
      </c>
      <c r="N153" s="526" t="s">
        <v>657</v>
      </c>
      <c r="O153" s="516" t="s">
        <v>657</v>
      </c>
      <c r="P153" s="517" t="s">
        <v>657</v>
      </c>
      <c r="Q153" s="527" t="s">
        <v>657</v>
      </c>
      <c r="R153" s="525"/>
      <c r="S153" s="520" t="s">
        <v>657</v>
      </c>
      <c r="T153" s="526" t="s">
        <v>657</v>
      </c>
      <c r="U153" s="526" t="s">
        <v>657</v>
      </c>
      <c r="V153" s="516" t="s">
        <v>657</v>
      </c>
      <c r="W153" s="517" t="s">
        <v>657</v>
      </c>
      <c r="X153" s="527" t="s">
        <v>657</v>
      </c>
    </row>
    <row r="154" spans="1:24" s="499" customFormat="1" x14ac:dyDescent="0.2">
      <c r="A154" s="522">
        <f t="shared" si="1"/>
        <v>-108</v>
      </c>
      <c r="B154" s="833" t="s">
        <v>657</v>
      </c>
      <c r="C154" s="524"/>
      <c r="D154" s="841" t="s">
        <v>657</v>
      </c>
      <c r="E154" s="839" t="s">
        <v>657</v>
      </c>
      <c r="F154" s="839" t="s">
        <v>657</v>
      </c>
      <c r="G154" s="836" t="s">
        <v>657</v>
      </c>
      <c r="H154" s="837" t="s">
        <v>657</v>
      </c>
      <c r="I154" s="872"/>
      <c r="J154" s="840" t="s">
        <v>657</v>
      </c>
      <c r="K154" s="525"/>
      <c r="L154" s="520" t="s">
        <v>657</v>
      </c>
      <c r="M154" s="526" t="s">
        <v>657</v>
      </c>
      <c r="N154" s="526" t="s">
        <v>657</v>
      </c>
      <c r="O154" s="516" t="s">
        <v>657</v>
      </c>
      <c r="P154" s="517" t="s">
        <v>657</v>
      </c>
      <c r="Q154" s="527" t="s">
        <v>657</v>
      </c>
      <c r="R154" s="525"/>
      <c r="S154" s="520" t="s">
        <v>657</v>
      </c>
      <c r="T154" s="526" t="s">
        <v>657</v>
      </c>
      <c r="U154" s="526" t="s">
        <v>657</v>
      </c>
      <c r="V154" s="516" t="s">
        <v>657</v>
      </c>
      <c r="W154" s="517" t="s">
        <v>657</v>
      </c>
      <c r="X154" s="527" t="s">
        <v>657</v>
      </c>
    </row>
    <row r="155" spans="1:24" s="499" customFormat="1" x14ac:dyDescent="0.2">
      <c r="A155" s="522">
        <f t="shared" ref="A155:A218" si="2">A154-1</f>
        <v>-109</v>
      </c>
      <c r="B155" s="833" t="s">
        <v>657</v>
      </c>
      <c r="C155" s="524"/>
      <c r="D155" s="841" t="s">
        <v>657</v>
      </c>
      <c r="E155" s="839" t="s">
        <v>657</v>
      </c>
      <c r="F155" s="839" t="s">
        <v>657</v>
      </c>
      <c r="G155" s="836" t="s">
        <v>657</v>
      </c>
      <c r="H155" s="837" t="s">
        <v>657</v>
      </c>
      <c r="I155" s="872"/>
      <c r="J155" s="840" t="s">
        <v>657</v>
      </c>
      <c r="K155" s="525"/>
      <c r="L155" s="520" t="s">
        <v>657</v>
      </c>
      <c r="M155" s="526" t="s">
        <v>657</v>
      </c>
      <c r="N155" s="526" t="s">
        <v>657</v>
      </c>
      <c r="O155" s="516" t="s">
        <v>657</v>
      </c>
      <c r="P155" s="517" t="s">
        <v>657</v>
      </c>
      <c r="Q155" s="527" t="s">
        <v>657</v>
      </c>
      <c r="R155" s="525"/>
      <c r="S155" s="520" t="s">
        <v>657</v>
      </c>
      <c r="T155" s="526" t="s">
        <v>657</v>
      </c>
      <c r="U155" s="526" t="s">
        <v>657</v>
      </c>
      <c r="V155" s="516" t="s">
        <v>657</v>
      </c>
      <c r="W155" s="517" t="s">
        <v>657</v>
      </c>
      <c r="X155" s="527" t="s">
        <v>657</v>
      </c>
    </row>
    <row r="156" spans="1:24" s="499" customFormat="1" x14ac:dyDescent="0.2">
      <c r="A156" s="522">
        <f t="shared" si="2"/>
        <v>-110</v>
      </c>
      <c r="B156" s="833" t="s">
        <v>657</v>
      </c>
      <c r="C156" s="524"/>
      <c r="D156" s="841" t="s">
        <v>657</v>
      </c>
      <c r="E156" s="839" t="s">
        <v>657</v>
      </c>
      <c r="F156" s="839" t="s">
        <v>657</v>
      </c>
      <c r="G156" s="836" t="s">
        <v>657</v>
      </c>
      <c r="H156" s="837" t="s">
        <v>657</v>
      </c>
      <c r="I156" s="872"/>
      <c r="J156" s="840" t="s">
        <v>657</v>
      </c>
      <c r="K156" s="525"/>
      <c r="L156" s="520" t="s">
        <v>657</v>
      </c>
      <c r="M156" s="526" t="s">
        <v>657</v>
      </c>
      <c r="N156" s="526" t="s">
        <v>657</v>
      </c>
      <c r="O156" s="516" t="s">
        <v>657</v>
      </c>
      <c r="P156" s="517" t="s">
        <v>657</v>
      </c>
      <c r="Q156" s="527" t="s">
        <v>657</v>
      </c>
      <c r="R156" s="525"/>
      <c r="S156" s="520" t="s">
        <v>657</v>
      </c>
      <c r="T156" s="526" t="s">
        <v>657</v>
      </c>
      <c r="U156" s="526" t="s">
        <v>657</v>
      </c>
      <c r="V156" s="516" t="s">
        <v>657</v>
      </c>
      <c r="W156" s="517" t="s">
        <v>657</v>
      </c>
      <c r="X156" s="527" t="s">
        <v>657</v>
      </c>
    </row>
    <row r="157" spans="1:24" s="499" customFormat="1" x14ac:dyDescent="0.2">
      <c r="A157" s="522">
        <f t="shared" si="2"/>
        <v>-111</v>
      </c>
      <c r="B157" s="833" t="s">
        <v>657</v>
      </c>
      <c r="C157" s="524"/>
      <c r="D157" s="841" t="s">
        <v>657</v>
      </c>
      <c r="E157" s="839" t="s">
        <v>657</v>
      </c>
      <c r="F157" s="839" t="s">
        <v>657</v>
      </c>
      <c r="G157" s="836" t="s">
        <v>657</v>
      </c>
      <c r="H157" s="837" t="s">
        <v>657</v>
      </c>
      <c r="I157" s="872"/>
      <c r="J157" s="840" t="s">
        <v>657</v>
      </c>
      <c r="K157" s="525"/>
      <c r="L157" s="520" t="s">
        <v>657</v>
      </c>
      <c r="M157" s="526" t="s">
        <v>657</v>
      </c>
      <c r="N157" s="526" t="s">
        <v>657</v>
      </c>
      <c r="O157" s="516" t="s">
        <v>657</v>
      </c>
      <c r="P157" s="517" t="s">
        <v>657</v>
      </c>
      <c r="Q157" s="527" t="s">
        <v>657</v>
      </c>
      <c r="R157" s="525"/>
      <c r="S157" s="520" t="s">
        <v>657</v>
      </c>
      <c r="T157" s="526" t="s">
        <v>657</v>
      </c>
      <c r="U157" s="526" t="s">
        <v>657</v>
      </c>
      <c r="V157" s="516" t="s">
        <v>657</v>
      </c>
      <c r="W157" s="517" t="s">
        <v>657</v>
      </c>
      <c r="X157" s="527" t="s">
        <v>657</v>
      </c>
    </row>
    <row r="158" spans="1:24" s="499" customFormat="1" x14ac:dyDescent="0.2">
      <c r="A158" s="522">
        <f t="shared" si="2"/>
        <v>-112</v>
      </c>
      <c r="B158" s="833" t="s">
        <v>657</v>
      </c>
      <c r="C158" s="524"/>
      <c r="D158" s="841" t="s">
        <v>657</v>
      </c>
      <c r="E158" s="839" t="s">
        <v>657</v>
      </c>
      <c r="F158" s="839" t="s">
        <v>657</v>
      </c>
      <c r="G158" s="836" t="s">
        <v>657</v>
      </c>
      <c r="H158" s="837" t="s">
        <v>657</v>
      </c>
      <c r="I158" s="872"/>
      <c r="J158" s="840" t="s">
        <v>657</v>
      </c>
      <c r="K158" s="525"/>
      <c r="L158" s="520" t="s">
        <v>657</v>
      </c>
      <c r="M158" s="526" t="s">
        <v>657</v>
      </c>
      <c r="N158" s="526" t="s">
        <v>657</v>
      </c>
      <c r="O158" s="516" t="s">
        <v>657</v>
      </c>
      <c r="P158" s="517" t="s">
        <v>657</v>
      </c>
      <c r="Q158" s="527" t="s">
        <v>657</v>
      </c>
      <c r="R158" s="525"/>
      <c r="S158" s="520" t="s">
        <v>657</v>
      </c>
      <c r="T158" s="526" t="s">
        <v>657</v>
      </c>
      <c r="U158" s="526" t="s">
        <v>657</v>
      </c>
      <c r="V158" s="516" t="s">
        <v>657</v>
      </c>
      <c r="W158" s="517" t="s">
        <v>657</v>
      </c>
      <c r="X158" s="527" t="s">
        <v>657</v>
      </c>
    </row>
    <row r="159" spans="1:24" s="499" customFormat="1" x14ac:dyDescent="0.2">
      <c r="A159" s="522">
        <f t="shared" si="2"/>
        <v>-113</v>
      </c>
      <c r="B159" s="833" t="s">
        <v>657</v>
      </c>
      <c r="C159" s="524"/>
      <c r="D159" s="841" t="s">
        <v>657</v>
      </c>
      <c r="E159" s="839" t="s">
        <v>657</v>
      </c>
      <c r="F159" s="839" t="s">
        <v>657</v>
      </c>
      <c r="G159" s="836" t="s">
        <v>657</v>
      </c>
      <c r="H159" s="837" t="s">
        <v>657</v>
      </c>
      <c r="I159" s="872"/>
      <c r="J159" s="840" t="s">
        <v>657</v>
      </c>
      <c r="K159" s="525"/>
      <c r="L159" s="520" t="s">
        <v>657</v>
      </c>
      <c r="M159" s="526" t="s">
        <v>657</v>
      </c>
      <c r="N159" s="526" t="s">
        <v>657</v>
      </c>
      <c r="O159" s="516" t="s">
        <v>657</v>
      </c>
      <c r="P159" s="517" t="s">
        <v>657</v>
      </c>
      <c r="Q159" s="527" t="s">
        <v>657</v>
      </c>
      <c r="R159" s="525"/>
      <c r="S159" s="520" t="s">
        <v>657</v>
      </c>
      <c r="T159" s="526" t="s">
        <v>657</v>
      </c>
      <c r="U159" s="526" t="s">
        <v>657</v>
      </c>
      <c r="V159" s="516" t="s">
        <v>657</v>
      </c>
      <c r="W159" s="517" t="s">
        <v>657</v>
      </c>
      <c r="X159" s="527" t="s">
        <v>657</v>
      </c>
    </row>
    <row r="160" spans="1:24" s="499" customFormat="1" x14ac:dyDescent="0.2">
      <c r="A160" s="522">
        <f t="shared" si="2"/>
        <v>-114</v>
      </c>
      <c r="B160" s="833" t="s">
        <v>657</v>
      </c>
      <c r="C160" s="524"/>
      <c r="D160" s="841" t="s">
        <v>657</v>
      </c>
      <c r="E160" s="839" t="s">
        <v>657</v>
      </c>
      <c r="F160" s="839" t="s">
        <v>657</v>
      </c>
      <c r="G160" s="836" t="s">
        <v>657</v>
      </c>
      <c r="H160" s="837" t="s">
        <v>657</v>
      </c>
      <c r="I160" s="872"/>
      <c r="J160" s="840" t="s">
        <v>657</v>
      </c>
      <c r="K160" s="525"/>
      <c r="L160" s="520" t="s">
        <v>657</v>
      </c>
      <c r="M160" s="526" t="s">
        <v>657</v>
      </c>
      <c r="N160" s="526" t="s">
        <v>657</v>
      </c>
      <c r="O160" s="516" t="s">
        <v>657</v>
      </c>
      <c r="P160" s="517" t="s">
        <v>657</v>
      </c>
      <c r="Q160" s="527" t="s">
        <v>657</v>
      </c>
      <c r="R160" s="525"/>
      <c r="S160" s="520" t="s">
        <v>657</v>
      </c>
      <c r="T160" s="526" t="s">
        <v>657</v>
      </c>
      <c r="U160" s="526" t="s">
        <v>657</v>
      </c>
      <c r="V160" s="516" t="s">
        <v>657</v>
      </c>
      <c r="W160" s="517" t="s">
        <v>657</v>
      </c>
      <c r="X160" s="527" t="s">
        <v>657</v>
      </c>
    </row>
    <row r="161" spans="1:24" s="499" customFormat="1" x14ac:dyDescent="0.2">
      <c r="A161" s="522">
        <f t="shared" si="2"/>
        <v>-115</v>
      </c>
      <c r="B161" s="833" t="s">
        <v>657</v>
      </c>
      <c r="C161" s="524"/>
      <c r="D161" s="841" t="s">
        <v>657</v>
      </c>
      <c r="E161" s="839" t="s">
        <v>657</v>
      </c>
      <c r="F161" s="839" t="s">
        <v>657</v>
      </c>
      <c r="G161" s="836" t="s">
        <v>657</v>
      </c>
      <c r="H161" s="837" t="s">
        <v>657</v>
      </c>
      <c r="I161" s="872"/>
      <c r="J161" s="840" t="s">
        <v>657</v>
      </c>
      <c r="K161" s="525"/>
      <c r="L161" s="520" t="s">
        <v>657</v>
      </c>
      <c r="M161" s="526" t="s">
        <v>657</v>
      </c>
      <c r="N161" s="526" t="s">
        <v>657</v>
      </c>
      <c r="O161" s="516" t="s">
        <v>657</v>
      </c>
      <c r="P161" s="517" t="s">
        <v>657</v>
      </c>
      <c r="Q161" s="527" t="s">
        <v>657</v>
      </c>
      <c r="R161" s="525"/>
      <c r="S161" s="520" t="s">
        <v>657</v>
      </c>
      <c r="T161" s="526" t="s">
        <v>657</v>
      </c>
      <c r="U161" s="526" t="s">
        <v>657</v>
      </c>
      <c r="V161" s="516" t="s">
        <v>657</v>
      </c>
      <c r="W161" s="517" t="s">
        <v>657</v>
      </c>
      <c r="X161" s="527" t="s">
        <v>657</v>
      </c>
    </row>
    <row r="162" spans="1:24" s="499" customFormat="1" x14ac:dyDescent="0.2">
      <c r="A162" s="522">
        <f t="shared" si="2"/>
        <v>-116</v>
      </c>
      <c r="B162" s="833" t="s">
        <v>657</v>
      </c>
      <c r="C162" s="524"/>
      <c r="D162" s="841" t="s">
        <v>657</v>
      </c>
      <c r="E162" s="839" t="s">
        <v>657</v>
      </c>
      <c r="F162" s="839" t="s">
        <v>657</v>
      </c>
      <c r="G162" s="836" t="s">
        <v>657</v>
      </c>
      <c r="H162" s="837" t="s">
        <v>657</v>
      </c>
      <c r="I162" s="872"/>
      <c r="J162" s="840" t="s">
        <v>657</v>
      </c>
      <c r="K162" s="525"/>
      <c r="L162" s="520" t="s">
        <v>657</v>
      </c>
      <c r="M162" s="526" t="s">
        <v>657</v>
      </c>
      <c r="N162" s="526" t="s">
        <v>657</v>
      </c>
      <c r="O162" s="516" t="s">
        <v>657</v>
      </c>
      <c r="P162" s="517" t="s">
        <v>657</v>
      </c>
      <c r="Q162" s="527" t="s">
        <v>657</v>
      </c>
      <c r="R162" s="525"/>
      <c r="S162" s="520" t="s">
        <v>657</v>
      </c>
      <c r="T162" s="526" t="s">
        <v>657</v>
      </c>
      <c r="U162" s="526" t="s">
        <v>657</v>
      </c>
      <c r="V162" s="516" t="s">
        <v>657</v>
      </c>
      <c r="W162" s="517" t="s">
        <v>657</v>
      </c>
      <c r="X162" s="527" t="s">
        <v>657</v>
      </c>
    </row>
    <row r="163" spans="1:24" s="499" customFormat="1" x14ac:dyDescent="0.2">
      <c r="A163" s="522">
        <f t="shared" si="2"/>
        <v>-117</v>
      </c>
      <c r="B163" s="833" t="s">
        <v>657</v>
      </c>
      <c r="C163" s="524"/>
      <c r="D163" s="841" t="s">
        <v>657</v>
      </c>
      <c r="E163" s="839" t="s">
        <v>657</v>
      </c>
      <c r="F163" s="839" t="s">
        <v>657</v>
      </c>
      <c r="G163" s="836" t="s">
        <v>657</v>
      </c>
      <c r="H163" s="837" t="s">
        <v>657</v>
      </c>
      <c r="I163" s="872"/>
      <c r="J163" s="840" t="s">
        <v>657</v>
      </c>
      <c r="K163" s="525"/>
      <c r="L163" s="520" t="s">
        <v>657</v>
      </c>
      <c r="M163" s="526" t="s">
        <v>657</v>
      </c>
      <c r="N163" s="526" t="s">
        <v>657</v>
      </c>
      <c r="O163" s="516" t="s">
        <v>657</v>
      </c>
      <c r="P163" s="517" t="s">
        <v>657</v>
      </c>
      <c r="Q163" s="527" t="s">
        <v>657</v>
      </c>
      <c r="R163" s="525"/>
      <c r="S163" s="520" t="s">
        <v>657</v>
      </c>
      <c r="T163" s="526" t="s">
        <v>657</v>
      </c>
      <c r="U163" s="526" t="s">
        <v>657</v>
      </c>
      <c r="V163" s="516" t="s">
        <v>657</v>
      </c>
      <c r="W163" s="517" t="s">
        <v>657</v>
      </c>
      <c r="X163" s="527" t="s">
        <v>657</v>
      </c>
    </row>
    <row r="164" spans="1:24" s="499" customFormat="1" x14ac:dyDescent="0.2">
      <c r="A164" s="522">
        <f t="shared" si="2"/>
        <v>-118</v>
      </c>
      <c r="B164" s="833" t="s">
        <v>657</v>
      </c>
      <c r="C164" s="524"/>
      <c r="D164" s="841" t="s">
        <v>657</v>
      </c>
      <c r="E164" s="839" t="s">
        <v>657</v>
      </c>
      <c r="F164" s="839" t="s">
        <v>657</v>
      </c>
      <c r="G164" s="836" t="s">
        <v>657</v>
      </c>
      <c r="H164" s="837" t="s">
        <v>657</v>
      </c>
      <c r="I164" s="872"/>
      <c r="J164" s="840" t="s">
        <v>657</v>
      </c>
      <c r="K164" s="525"/>
      <c r="L164" s="520" t="s">
        <v>657</v>
      </c>
      <c r="M164" s="526" t="s">
        <v>657</v>
      </c>
      <c r="N164" s="526" t="s">
        <v>657</v>
      </c>
      <c r="O164" s="516" t="s">
        <v>657</v>
      </c>
      <c r="P164" s="517" t="s">
        <v>657</v>
      </c>
      <c r="Q164" s="527" t="s">
        <v>657</v>
      </c>
      <c r="R164" s="525"/>
      <c r="S164" s="520" t="s">
        <v>657</v>
      </c>
      <c r="T164" s="526" t="s">
        <v>657</v>
      </c>
      <c r="U164" s="526" t="s">
        <v>657</v>
      </c>
      <c r="V164" s="516" t="s">
        <v>657</v>
      </c>
      <c r="W164" s="517" t="s">
        <v>657</v>
      </c>
      <c r="X164" s="527" t="s">
        <v>657</v>
      </c>
    </row>
    <row r="165" spans="1:24" s="499" customFormat="1" x14ac:dyDescent="0.2">
      <c r="A165" s="522">
        <f t="shared" si="2"/>
        <v>-119</v>
      </c>
      <c r="B165" s="833" t="s">
        <v>657</v>
      </c>
      <c r="C165" s="524"/>
      <c r="D165" s="841" t="s">
        <v>657</v>
      </c>
      <c r="E165" s="839" t="s">
        <v>657</v>
      </c>
      <c r="F165" s="839" t="s">
        <v>657</v>
      </c>
      <c r="G165" s="836" t="s">
        <v>657</v>
      </c>
      <c r="H165" s="837" t="s">
        <v>657</v>
      </c>
      <c r="I165" s="872"/>
      <c r="J165" s="840" t="s">
        <v>657</v>
      </c>
      <c r="K165" s="525"/>
      <c r="L165" s="520" t="s">
        <v>657</v>
      </c>
      <c r="M165" s="526" t="s">
        <v>657</v>
      </c>
      <c r="N165" s="526" t="s">
        <v>657</v>
      </c>
      <c r="O165" s="516" t="s">
        <v>657</v>
      </c>
      <c r="P165" s="517" t="s">
        <v>657</v>
      </c>
      <c r="Q165" s="527" t="s">
        <v>657</v>
      </c>
      <c r="R165" s="525"/>
      <c r="S165" s="520" t="s">
        <v>657</v>
      </c>
      <c r="T165" s="526" t="s">
        <v>657</v>
      </c>
      <c r="U165" s="526" t="s">
        <v>657</v>
      </c>
      <c r="V165" s="516" t="s">
        <v>657</v>
      </c>
      <c r="W165" s="517" t="s">
        <v>657</v>
      </c>
      <c r="X165" s="527" t="s">
        <v>657</v>
      </c>
    </row>
    <row r="166" spans="1:24" s="499" customFormat="1" x14ac:dyDescent="0.2">
      <c r="A166" s="522">
        <f t="shared" si="2"/>
        <v>-120</v>
      </c>
      <c r="B166" s="833" t="s">
        <v>657</v>
      </c>
      <c r="C166" s="524"/>
      <c r="D166" s="841" t="s">
        <v>657</v>
      </c>
      <c r="E166" s="839" t="s">
        <v>657</v>
      </c>
      <c r="F166" s="839" t="s">
        <v>657</v>
      </c>
      <c r="G166" s="836" t="s">
        <v>657</v>
      </c>
      <c r="H166" s="837" t="s">
        <v>657</v>
      </c>
      <c r="I166" s="872"/>
      <c r="J166" s="840" t="s">
        <v>657</v>
      </c>
      <c r="K166" s="525"/>
      <c r="L166" s="520" t="s">
        <v>657</v>
      </c>
      <c r="M166" s="526" t="s">
        <v>657</v>
      </c>
      <c r="N166" s="526" t="s">
        <v>657</v>
      </c>
      <c r="O166" s="516" t="s">
        <v>657</v>
      </c>
      <c r="P166" s="517" t="s">
        <v>657</v>
      </c>
      <c r="Q166" s="527" t="s">
        <v>657</v>
      </c>
      <c r="R166" s="525"/>
      <c r="S166" s="520" t="s">
        <v>657</v>
      </c>
      <c r="T166" s="526" t="s">
        <v>657</v>
      </c>
      <c r="U166" s="526" t="s">
        <v>657</v>
      </c>
      <c r="V166" s="516" t="s">
        <v>657</v>
      </c>
      <c r="W166" s="517" t="s">
        <v>657</v>
      </c>
      <c r="X166" s="527" t="s">
        <v>657</v>
      </c>
    </row>
    <row r="167" spans="1:24" s="499" customFormat="1" x14ac:dyDescent="0.2">
      <c r="A167" s="522">
        <f t="shared" si="2"/>
        <v>-121</v>
      </c>
      <c r="B167" s="833" t="s">
        <v>657</v>
      </c>
      <c r="C167" s="524"/>
      <c r="D167" s="841" t="s">
        <v>657</v>
      </c>
      <c r="E167" s="839" t="s">
        <v>657</v>
      </c>
      <c r="F167" s="839" t="s">
        <v>657</v>
      </c>
      <c r="G167" s="836" t="s">
        <v>657</v>
      </c>
      <c r="H167" s="837" t="s">
        <v>657</v>
      </c>
      <c r="I167" s="872"/>
      <c r="J167" s="840" t="s">
        <v>657</v>
      </c>
      <c r="K167" s="525"/>
      <c r="L167" s="520" t="s">
        <v>657</v>
      </c>
      <c r="M167" s="526" t="s">
        <v>657</v>
      </c>
      <c r="N167" s="526" t="s">
        <v>657</v>
      </c>
      <c r="O167" s="516" t="s">
        <v>657</v>
      </c>
      <c r="P167" s="517" t="s">
        <v>657</v>
      </c>
      <c r="Q167" s="527" t="s">
        <v>657</v>
      </c>
      <c r="R167" s="525"/>
      <c r="S167" s="520" t="s">
        <v>657</v>
      </c>
      <c r="T167" s="526" t="s">
        <v>657</v>
      </c>
      <c r="U167" s="526" t="s">
        <v>657</v>
      </c>
      <c r="V167" s="516" t="s">
        <v>657</v>
      </c>
      <c r="W167" s="517" t="s">
        <v>657</v>
      </c>
      <c r="X167" s="527" t="s">
        <v>657</v>
      </c>
    </row>
    <row r="168" spans="1:24" x14ac:dyDescent="0.2">
      <c r="A168" s="522">
        <f t="shared" si="2"/>
        <v>-122</v>
      </c>
      <c r="B168" s="833" t="s">
        <v>657</v>
      </c>
      <c r="C168" s="524"/>
      <c r="D168" s="841" t="s">
        <v>657</v>
      </c>
      <c r="E168" s="839" t="s">
        <v>657</v>
      </c>
      <c r="F168" s="839" t="s">
        <v>657</v>
      </c>
      <c r="G168" s="836" t="s">
        <v>657</v>
      </c>
      <c r="H168" s="837" t="s">
        <v>657</v>
      </c>
      <c r="I168" s="872"/>
      <c r="J168" s="840" t="s">
        <v>657</v>
      </c>
      <c r="K168" s="525"/>
      <c r="L168" s="520" t="s">
        <v>657</v>
      </c>
      <c r="M168" s="526" t="s">
        <v>657</v>
      </c>
      <c r="N168" s="526" t="s">
        <v>657</v>
      </c>
      <c r="O168" s="516" t="s">
        <v>657</v>
      </c>
      <c r="P168" s="517" t="s">
        <v>657</v>
      </c>
      <c r="Q168" s="527" t="s">
        <v>657</v>
      </c>
      <c r="R168" s="525"/>
      <c r="S168" s="520" t="s">
        <v>657</v>
      </c>
      <c r="T168" s="526" t="s">
        <v>657</v>
      </c>
      <c r="U168" s="526" t="s">
        <v>657</v>
      </c>
      <c r="V168" s="516" t="s">
        <v>657</v>
      </c>
      <c r="W168" s="517" t="s">
        <v>657</v>
      </c>
      <c r="X168" s="527" t="s">
        <v>657</v>
      </c>
    </row>
    <row r="169" spans="1:24" x14ac:dyDescent="0.2">
      <c r="A169" s="522">
        <f t="shared" si="2"/>
        <v>-123</v>
      </c>
      <c r="B169" s="833" t="s">
        <v>657</v>
      </c>
      <c r="C169" s="524"/>
      <c r="D169" s="841" t="s">
        <v>657</v>
      </c>
      <c r="E169" s="839" t="s">
        <v>657</v>
      </c>
      <c r="F169" s="839" t="s">
        <v>657</v>
      </c>
      <c r="G169" s="836" t="s">
        <v>657</v>
      </c>
      <c r="H169" s="837" t="s">
        <v>657</v>
      </c>
      <c r="I169" s="872"/>
      <c r="J169" s="840" t="s">
        <v>657</v>
      </c>
      <c r="K169" s="525"/>
      <c r="L169" s="520" t="s">
        <v>657</v>
      </c>
      <c r="M169" s="526" t="s">
        <v>657</v>
      </c>
      <c r="N169" s="526" t="s">
        <v>657</v>
      </c>
      <c r="O169" s="516" t="s">
        <v>657</v>
      </c>
      <c r="P169" s="517" t="s">
        <v>657</v>
      </c>
      <c r="Q169" s="527" t="s">
        <v>657</v>
      </c>
      <c r="R169" s="525"/>
      <c r="S169" s="520" t="s">
        <v>657</v>
      </c>
      <c r="T169" s="526" t="s">
        <v>657</v>
      </c>
      <c r="U169" s="526" t="s">
        <v>657</v>
      </c>
      <c r="V169" s="516" t="s">
        <v>657</v>
      </c>
      <c r="W169" s="517" t="s">
        <v>657</v>
      </c>
      <c r="X169" s="527" t="s">
        <v>657</v>
      </c>
    </row>
    <row r="170" spans="1:24" x14ac:dyDescent="0.2">
      <c r="A170" s="522">
        <f t="shared" si="2"/>
        <v>-124</v>
      </c>
      <c r="B170" s="833" t="s">
        <v>657</v>
      </c>
      <c r="C170" s="524"/>
      <c r="D170" s="841" t="s">
        <v>657</v>
      </c>
      <c r="E170" s="839" t="s">
        <v>657</v>
      </c>
      <c r="F170" s="839" t="s">
        <v>657</v>
      </c>
      <c r="G170" s="836" t="s">
        <v>657</v>
      </c>
      <c r="H170" s="837" t="s">
        <v>657</v>
      </c>
      <c r="I170" s="872"/>
      <c r="J170" s="840" t="s">
        <v>657</v>
      </c>
      <c r="K170" s="525"/>
      <c r="L170" s="520" t="s">
        <v>657</v>
      </c>
      <c r="M170" s="526" t="s">
        <v>657</v>
      </c>
      <c r="N170" s="526" t="s">
        <v>657</v>
      </c>
      <c r="O170" s="516" t="s">
        <v>657</v>
      </c>
      <c r="P170" s="517" t="s">
        <v>657</v>
      </c>
      <c r="Q170" s="527" t="s">
        <v>657</v>
      </c>
      <c r="R170" s="525"/>
      <c r="S170" s="520" t="s">
        <v>657</v>
      </c>
      <c r="T170" s="526" t="s">
        <v>657</v>
      </c>
      <c r="U170" s="526" t="s">
        <v>657</v>
      </c>
      <c r="V170" s="516" t="s">
        <v>657</v>
      </c>
      <c r="W170" s="517" t="s">
        <v>657</v>
      </c>
      <c r="X170" s="527" t="s">
        <v>657</v>
      </c>
    </row>
    <row r="171" spans="1:24" x14ac:dyDescent="0.2">
      <c r="A171" s="522">
        <f t="shared" si="2"/>
        <v>-125</v>
      </c>
      <c r="B171" s="833" t="s">
        <v>657</v>
      </c>
      <c r="C171" s="524"/>
      <c r="D171" s="841" t="s">
        <v>657</v>
      </c>
      <c r="E171" s="839" t="s">
        <v>657</v>
      </c>
      <c r="F171" s="839" t="s">
        <v>657</v>
      </c>
      <c r="G171" s="836" t="s">
        <v>657</v>
      </c>
      <c r="H171" s="837" t="s">
        <v>657</v>
      </c>
      <c r="I171" s="872"/>
      <c r="J171" s="840" t="s">
        <v>657</v>
      </c>
      <c r="K171" s="525"/>
      <c r="L171" s="520" t="s">
        <v>657</v>
      </c>
      <c r="M171" s="526" t="s">
        <v>657</v>
      </c>
      <c r="N171" s="526" t="s">
        <v>657</v>
      </c>
      <c r="O171" s="516" t="s">
        <v>657</v>
      </c>
      <c r="P171" s="517" t="s">
        <v>657</v>
      </c>
      <c r="Q171" s="527" t="s">
        <v>657</v>
      </c>
      <c r="R171" s="525"/>
      <c r="S171" s="520" t="s">
        <v>657</v>
      </c>
      <c r="T171" s="526" t="s">
        <v>657</v>
      </c>
      <c r="U171" s="526" t="s">
        <v>657</v>
      </c>
      <c r="V171" s="516" t="s">
        <v>657</v>
      </c>
      <c r="W171" s="517" t="s">
        <v>657</v>
      </c>
      <c r="X171" s="527" t="s">
        <v>657</v>
      </c>
    </row>
    <row r="172" spans="1:24" x14ac:dyDescent="0.2">
      <c r="A172" s="522">
        <f t="shared" si="2"/>
        <v>-126</v>
      </c>
      <c r="B172" s="833" t="s">
        <v>657</v>
      </c>
      <c r="C172" s="524"/>
      <c r="D172" s="841" t="s">
        <v>657</v>
      </c>
      <c r="E172" s="839" t="s">
        <v>657</v>
      </c>
      <c r="F172" s="839" t="s">
        <v>657</v>
      </c>
      <c r="G172" s="836" t="s">
        <v>657</v>
      </c>
      <c r="H172" s="837" t="s">
        <v>657</v>
      </c>
      <c r="I172" s="872"/>
      <c r="J172" s="840" t="s">
        <v>657</v>
      </c>
      <c r="K172" s="525"/>
      <c r="L172" s="520" t="s">
        <v>657</v>
      </c>
      <c r="M172" s="526" t="s">
        <v>657</v>
      </c>
      <c r="N172" s="526" t="s">
        <v>657</v>
      </c>
      <c r="O172" s="516" t="s">
        <v>657</v>
      </c>
      <c r="P172" s="517" t="s">
        <v>657</v>
      </c>
      <c r="Q172" s="527" t="s">
        <v>657</v>
      </c>
      <c r="R172" s="525"/>
      <c r="S172" s="520" t="s">
        <v>657</v>
      </c>
      <c r="T172" s="526" t="s">
        <v>657</v>
      </c>
      <c r="U172" s="526" t="s">
        <v>657</v>
      </c>
      <c r="V172" s="516" t="s">
        <v>657</v>
      </c>
      <c r="W172" s="517" t="s">
        <v>657</v>
      </c>
      <c r="X172" s="527" t="s">
        <v>657</v>
      </c>
    </row>
    <row r="173" spans="1:24" x14ac:dyDescent="0.2">
      <c r="A173" s="522">
        <f t="shared" si="2"/>
        <v>-127</v>
      </c>
      <c r="B173" s="833" t="s">
        <v>657</v>
      </c>
      <c r="C173" s="524"/>
      <c r="D173" s="841" t="s">
        <v>657</v>
      </c>
      <c r="E173" s="839" t="s">
        <v>657</v>
      </c>
      <c r="F173" s="839" t="s">
        <v>657</v>
      </c>
      <c r="G173" s="836" t="s">
        <v>657</v>
      </c>
      <c r="H173" s="837" t="s">
        <v>657</v>
      </c>
      <c r="I173" s="872"/>
      <c r="J173" s="840" t="s">
        <v>657</v>
      </c>
      <c r="K173" s="525"/>
      <c r="L173" s="520" t="s">
        <v>657</v>
      </c>
      <c r="M173" s="526" t="s">
        <v>657</v>
      </c>
      <c r="N173" s="526" t="s">
        <v>657</v>
      </c>
      <c r="O173" s="516" t="s">
        <v>657</v>
      </c>
      <c r="P173" s="517" t="s">
        <v>657</v>
      </c>
      <c r="Q173" s="527" t="s">
        <v>657</v>
      </c>
      <c r="R173" s="525"/>
      <c r="S173" s="520" t="s">
        <v>657</v>
      </c>
      <c r="T173" s="526" t="s">
        <v>657</v>
      </c>
      <c r="U173" s="526" t="s">
        <v>657</v>
      </c>
      <c r="V173" s="516" t="s">
        <v>657</v>
      </c>
      <c r="W173" s="517" t="s">
        <v>657</v>
      </c>
      <c r="X173" s="527" t="s">
        <v>657</v>
      </c>
    </row>
    <row r="174" spans="1:24" x14ac:dyDescent="0.2">
      <c r="A174" s="522">
        <f t="shared" si="2"/>
        <v>-128</v>
      </c>
      <c r="B174" s="833" t="s">
        <v>657</v>
      </c>
      <c r="C174" s="524"/>
      <c r="D174" s="841" t="s">
        <v>657</v>
      </c>
      <c r="E174" s="839" t="s">
        <v>657</v>
      </c>
      <c r="F174" s="839" t="s">
        <v>657</v>
      </c>
      <c r="G174" s="836" t="s">
        <v>657</v>
      </c>
      <c r="H174" s="837" t="s">
        <v>657</v>
      </c>
      <c r="I174" s="872"/>
      <c r="J174" s="840" t="s">
        <v>657</v>
      </c>
      <c r="K174" s="525"/>
      <c r="L174" s="520" t="s">
        <v>657</v>
      </c>
      <c r="M174" s="526" t="s">
        <v>657</v>
      </c>
      <c r="N174" s="526" t="s">
        <v>657</v>
      </c>
      <c r="O174" s="516" t="s">
        <v>657</v>
      </c>
      <c r="P174" s="517" t="s">
        <v>657</v>
      </c>
      <c r="Q174" s="527" t="s">
        <v>657</v>
      </c>
      <c r="R174" s="525"/>
      <c r="S174" s="520" t="s">
        <v>657</v>
      </c>
      <c r="T174" s="526" t="s">
        <v>657</v>
      </c>
      <c r="U174" s="526" t="s">
        <v>657</v>
      </c>
      <c r="V174" s="516" t="s">
        <v>657</v>
      </c>
      <c r="W174" s="517" t="s">
        <v>657</v>
      </c>
      <c r="X174" s="527" t="s">
        <v>657</v>
      </c>
    </row>
    <row r="175" spans="1:24" x14ac:dyDescent="0.2">
      <c r="A175" s="522">
        <f t="shared" si="2"/>
        <v>-129</v>
      </c>
      <c r="B175" s="833" t="s">
        <v>657</v>
      </c>
      <c r="C175" s="524"/>
      <c r="D175" s="841" t="s">
        <v>657</v>
      </c>
      <c r="E175" s="839" t="s">
        <v>657</v>
      </c>
      <c r="F175" s="839" t="s">
        <v>657</v>
      </c>
      <c r="G175" s="836" t="s">
        <v>657</v>
      </c>
      <c r="H175" s="837" t="s">
        <v>657</v>
      </c>
      <c r="I175" s="872"/>
      <c r="J175" s="840" t="s">
        <v>657</v>
      </c>
      <c r="K175" s="525"/>
      <c r="L175" s="520" t="s">
        <v>657</v>
      </c>
      <c r="M175" s="526" t="s">
        <v>657</v>
      </c>
      <c r="N175" s="526" t="s">
        <v>657</v>
      </c>
      <c r="O175" s="516" t="s">
        <v>657</v>
      </c>
      <c r="P175" s="517" t="s">
        <v>657</v>
      </c>
      <c r="Q175" s="527" t="s">
        <v>657</v>
      </c>
      <c r="R175" s="525"/>
      <c r="S175" s="520" t="s">
        <v>657</v>
      </c>
      <c r="T175" s="526" t="s">
        <v>657</v>
      </c>
      <c r="U175" s="526" t="s">
        <v>657</v>
      </c>
      <c r="V175" s="516" t="s">
        <v>657</v>
      </c>
      <c r="W175" s="517" t="s">
        <v>657</v>
      </c>
      <c r="X175" s="527" t="s">
        <v>657</v>
      </c>
    </row>
    <row r="176" spans="1:24" x14ac:dyDescent="0.2">
      <c r="A176" s="522">
        <f t="shared" si="2"/>
        <v>-130</v>
      </c>
      <c r="B176" s="833" t="s">
        <v>657</v>
      </c>
      <c r="C176" s="524"/>
      <c r="D176" s="841" t="s">
        <v>657</v>
      </c>
      <c r="E176" s="839" t="s">
        <v>657</v>
      </c>
      <c r="F176" s="839" t="s">
        <v>657</v>
      </c>
      <c r="G176" s="836" t="s">
        <v>657</v>
      </c>
      <c r="H176" s="837" t="s">
        <v>657</v>
      </c>
      <c r="I176" s="872"/>
      <c r="J176" s="840" t="s">
        <v>657</v>
      </c>
      <c r="K176" s="525"/>
      <c r="L176" s="520" t="s">
        <v>657</v>
      </c>
      <c r="M176" s="526" t="s">
        <v>657</v>
      </c>
      <c r="N176" s="526" t="s">
        <v>657</v>
      </c>
      <c r="O176" s="516" t="s">
        <v>657</v>
      </c>
      <c r="P176" s="517" t="s">
        <v>657</v>
      </c>
      <c r="Q176" s="527" t="s">
        <v>657</v>
      </c>
      <c r="R176" s="525"/>
      <c r="S176" s="520" t="s">
        <v>657</v>
      </c>
      <c r="T176" s="526" t="s">
        <v>657</v>
      </c>
      <c r="U176" s="526" t="s">
        <v>657</v>
      </c>
      <c r="V176" s="516" t="s">
        <v>657</v>
      </c>
      <c r="W176" s="517" t="s">
        <v>657</v>
      </c>
      <c r="X176" s="527" t="s">
        <v>657</v>
      </c>
    </row>
    <row r="177" spans="1:24" x14ac:dyDescent="0.2">
      <c r="A177" s="522">
        <f t="shared" si="2"/>
        <v>-131</v>
      </c>
      <c r="B177" s="833" t="s">
        <v>657</v>
      </c>
      <c r="C177" s="524"/>
      <c r="D177" s="841" t="s">
        <v>657</v>
      </c>
      <c r="E177" s="839" t="s">
        <v>657</v>
      </c>
      <c r="F177" s="839" t="s">
        <v>657</v>
      </c>
      <c r="G177" s="836" t="s">
        <v>657</v>
      </c>
      <c r="H177" s="837" t="s">
        <v>657</v>
      </c>
      <c r="I177" s="872"/>
      <c r="J177" s="840" t="s">
        <v>657</v>
      </c>
      <c r="K177" s="525"/>
      <c r="L177" s="520" t="s">
        <v>657</v>
      </c>
      <c r="M177" s="526" t="s">
        <v>657</v>
      </c>
      <c r="N177" s="526" t="s">
        <v>657</v>
      </c>
      <c r="O177" s="516" t="s">
        <v>657</v>
      </c>
      <c r="P177" s="517" t="s">
        <v>657</v>
      </c>
      <c r="Q177" s="527" t="s">
        <v>657</v>
      </c>
      <c r="R177" s="525"/>
      <c r="S177" s="520" t="s">
        <v>657</v>
      </c>
      <c r="T177" s="526" t="s">
        <v>657</v>
      </c>
      <c r="U177" s="526" t="s">
        <v>657</v>
      </c>
      <c r="V177" s="516" t="s">
        <v>657</v>
      </c>
      <c r="W177" s="517" t="s">
        <v>657</v>
      </c>
      <c r="X177" s="527" t="s">
        <v>657</v>
      </c>
    </row>
    <row r="178" spans="1:24" x14ac:dyDescent="0.2">
      <c r="A178" s="522">
        <f t="shared" si="2"/>
        <v>-132</v>
      </c>
      <c r="B178" s="833" t="s">
        <v>657</v>
      </c>
      <c r="C178" s="524"/>
      <c r="D178" s="841" t="s">
        <v>657</v>
      </c>
      <c r="E178" s="839" t="s">
        <v>657</v>
      </c>
      <c r="F178" s="839" t="s">
        <v>657</v>
      </c>
      <c r="G178" s="836" t="s">
        <v>657</v>
      </c>
      <c r="H178" s="837" t="s">
        <v>657</v>
      </c>
      <c r="I178" s="872"/>
      <c r="J178" s="840" t="s">
        <v>657</v>
      </c>
      <c r="K178" s="525"/>
      <c r="L178" s="520" t="s">
        <v>657</v>
      </c>
      <c r="M178" s="526" t="s">
        <v>657</v>
      </c>
      <c r="N178" s="526" t="s">
        <v>657</v>
      </c>
      <c r="O178" s="516" t="s">
        <v>657</v>
      </c>
      <c r="P178" s="517" t="s">
        <v>657</v>
      </c>
      <c r="Q178" s="527" t="s">
        <v>657</v>
      </c>
      <c r="R178" s="525"/>
      <c r="S178" s="520" t="s">
        <v>657</v>
      </c>
      <c r="T178" s="526" t="s">
        <v>657</v>
      </c>
      <c r="U178" s="526" t="s">
        <v>657</v>
      </c>
      <c r="V178" s="516" t="s">
        <v>657</v>
      </c>
      <c r="W178" s="517" t="s">
        <v>657</v>
      </c>
      <c r="X178" s="527" t="s">
        <v>657</v>
      </c>
    </row>
    <row r="179" spans="1:24" x14ac:dyDescent="0.2">
      <c r="A179" s="522">
        <f t="shared" si="2"/>
        <v>-133</v>
      </c>
      <c r="B179" s="833" t="s">
        <v>657</v>
      </c>
      <c r="C179" s="524"/>
      <c r="D179" s="841" t="s">
        <v>657</v>
      </c>
      <c r="E179" s="839" t="s">
        <v>657</v>
      </c>
      <c r="F179" s="839" t="s">
        <v>657</v>
      </c>
      <c r="G179" s="836" t="s">
        <v>657</v>
      </c>
      <c r="H179" s="837" t="s">
        <v>657</v>
      </c>
      <c r="I179" s="872"/>
      <c r="J179" s="840" t="s">
        <v>657</v>
      </c>
      <c r="K179" s="525"/>
      <c r="L179" s="520" t="s">
        <v>657</v>
      </c>
      <c r="M179" s="526" t="s">
        <v>657</v>
      </c>
      <c r="N179" s="526" t="s">
        <v>657</v>
      </c>
      <c r="O179" s="516" t="s">
        <v>657</v>
      </c>
      <c r="P179" s="517" t="s">
        <v>657</v>
      </c>
      <c r="Q179" s="527" t="s">
        <v>657</v>
      </c>
      <c r="R179" s="525"/>
      <c r="S179" s="520" t="s">
        <v>657</v>
      </c>
      <c r="T179" s="526" t="s">
        <v>657</v>
      </c>
      <c r="U179" s="526" t="s">
        <v>657</v>
      </c>
      <c r="V179" s="516" t="s">
        <v>657</v>
      </c>
      <c r="W179" s="517" t="s">
        <v>657</v>
      </c>
      <c r="X179" s="527" t="s">
        <v>657</v>
      </c>
    </row>
    <row r="180" spans="1:24" x14ac:dyDescent="0.2">
      <c r="A180" s="522">
        <f t="shared" si="2"/>
        <v>-134</v>
      </c>
      <c r="B180" s="833" t="s">
        <v>657</v>
      </c>
      <c r="C180" s="524"/>
      <c r="D180" s="841" t="s">
        <v>657</v>
      </c>
      <c r="E180" s="839" t="s">
        <v>657</v>
      </c>
      <c r="F180" s="839" t="s">
        <v>657</v>
      </c>
      <c r="G180" s="836" t="s">
        <v>657</v>
      </c>
      <c r="H180" s="837" t="s">
        <v>657</v>
      </c>
      <c r="I180" s="872"/>
      <c r="J180" s="840" t="s">
        <v>657</v>
      </c>
      <c r="K180" s="525"/>
      <c r="L180" s="520" t="s">
        <v>657</v>
      </c>
      <c r="M180" s="526" t="s">
        <v>657</v>
      </c>
      <c r="N180" s="526" t="s">
        <v>657</v>
      </c>
      <c r="O180" s="516" t="s">
        <v>657</v>
      </c>
      <c r="P180" s="517" t="s">
        <v>657</v>
      </c>
      <c r="Q180" s="527" t="s">
        <v>657</v>
      </c>
      <c r="R180" s="525"/>
      <c r="S180" s="520" t="s">
        <v>657</v>
      </c>
      <c r="T180" s="526" t="s">
        <v>657</v>
      </c>
      <c r="U180" s="526" t="s">
        <v>657</v>
      </c>
      <c r="V180" s="516" t="s">
        <v>657</v>
      </c>
      <c r="W180" s="517" t="s">
        <v>657</v>
      </c>
      <c r="X180" s="527" t="s">
        <v>657</v>
      </c>
    </row>
    <row r="181" spans="1:24" x14ac:dyDescent="0.2">
      <c r="A181" s="522">
        <f t="shared" si="2"/>
        <v>-135</v>
      </c>
      <c r="B181" s="833" t="s">
        <v>657</v>
      </c>
      <c r="C181" s="524"/>
      <c r="D181" s="841" t="s">
        <v>657</v>
      </c>
      <c r="E181" s="839" t="s">
        <v>657</v>
      </c>
      <c r="F181" s="839" t="s">
        <v>657</v>
      </c>
      <c r="G181" s="836" t="s">
        <v>657</v>
      </c>
      <c r="H181" s="837" t="s">
        <v>657</v>
      </c>
      <c r="I181" s="872"/>
      <c r="J181" s="840" t="s">
        <v>657</v>
      </c>
      <c r="K181" s="525"/>
      <c r="L181" s="520" t="s">
        <v>657</v>
      </c>
      <c r="M181" s="526" t="s">
        <v>657</v>
      </c>
      <c r="N181" s="526" t="s">
        <v>657</v>
      </c>
      <c r="O181" s="516" t="s">
        <v>657</v>
      </c>
      <c r="P181" s="517" t="s">
        <v>657</v>
      </c>
      <c r="Q181" s="527" t="s">
        <v>657</v>
      </c>
      <c r="R181" s="525"/>
      <c r="S181" s="520" t="s">
        <v>657</v>
      </c>
      <c r="T181" s="526" t="s">
        <v>657</v>
      </c>
      <c r="U181" s="526" t="s">
        <v>657</v>
      </c>
      <c r="V181" s="516" t="s">
        <v>657</v>
      </c>
      <c r="W181" s="517" t="s">
        <v>657</v>
      </c>
      <c r="X181" s="527" t="s">
        <v>657</v>
      </c>
    </row>
    <row r="182" spans="1:24" x14ac:dyDescent="0.2">
      <c r="A182" s="522">
        <f t="shared" si="2"/>
        <v>-136</v>
      </c>
      <c r="B182" s="833" t="s">
        <v>657</v>
      </c>
      <c r="C182" s="524"/>
      <c r="D182" s="841" t="s">
        <v>657</v>
      </c>
      <c r="E182" s="839" t="s">
        <v>657</v>
      </c>
      <c r="F182" s="839" t="s">
        <v>657</v>
      </c>
      <c r="G182" s="836" t="s">
        <v>657</v>
      </c>
      <c r="H182" s="837" t="s">
        <v>657</v>
      </c>
      <c r="I182" s="872"/>
      <c r="J182" s="840" t="s">
        <v>657</v>
      </c>
      <c r="K182" s="525"/>
      <c r="L182" s="520" t="s">
        <v>657</v>
      </c>
      <c r="M182" s="526" t="s">
        <v>657</v>
      </c>
      <c r="N182" s="526" t="s">
        <v>657</v>
      </c>
      <c r="O182" s="516" t="s">
        <v>657</v>
      </c>
      <c r="P182" s="517" t="s">
        <v>657</v>
      </c>
      <c r="Q182" s="527" t="s">
        <v>657</v>
      </c>
      <c r="R182" s="525"/>
      <c r="S182" s="520" t="s">
        <v>657</v>
      </c>
      <c r="T182" s="526" t="s">
        <v>657</v>
      </c>
      <c r="U182" s="526" t="s">
        <v>657</v>
      </c>
      <c r="V182" s="516" t="s">
        <v>657</v>
      </c>
      <c r="W182" s="517" t="s">
        <v>657</v>
      </c>
      <c r="X182" s="527" t="s">
        <v>657</v>
      </c>
    </row>
    <row r="183" spans="1:24" x14ac:dyDescent="0.2">
      <c r="A183" s="522">
        <f t="shared" si="2"/>
        <v>-137</v>
      </c>
      <c r="B183" s="833" t="s">
        <v>657</v>
      </c>
      <c r="C183" s="524"/>
      <c r="D183" s="841" t="s">
        <v>657</v>
      </c>
      <c r="E183" s="839" t="s">
        <v>657</v>
      </c>
      <c r="F183" s="839" t="s">
        <v>657</v>
      </c>
      <c r="G183" s="836" t="s">
        <v>657</v>
      </c>
      <c r="H183" s="837" t="s">
        <v>657</v>
      </c>
      <c r="I183" s="872"/>
      <c r="J183" s="840" t="s">
        <v>657</v>
      </c>
      <c r="K183" s="525"/>
      <c r="L183" s="520" t="s">
        <v>657</v>
      </c>
      <c r="M183" s="526" t="s">
        <v>657</v>
      </c>
      <c r="N183" s="526" t="s">
        <v>657</v>
      </c>
      <c r="O183" s="516" t="s">
        <v>657</v>
      </c>
      <c r="P183" s="517" t="s">
        <v>657</v>
      </c>
      <c r="Q183" s="527" t="s">
        <v>657</v>
      </c>
      <c r="R183" s="525"/>
      <c r="S183" s="520" t="s">
        <v>657</v>
      </c>
      <c r="T183" s="526" t="s">
        <v>657</v>
      </c>
      <c r="U183" s="526" t="s">
        <v>657</v>
      </c>
      <c r="V183" s="516" t="s">
        <v>657</v>
      </c>
      <c r="W183" s="517" t="s">
        <v>657</v>
      </c>
      <c r="X183" s="527" t="s">
        <v>657</v>
      </c>
    </row>
    <row r="184" spans="1:24" x14ac:dyDescent="0.2">
      <c r="A184" s="522">
        <f t="shared" si="2"/>
        <v>-138</v>
      </c>
      <c r="B184" s="833" t="s">
        <v>657</v>
      </c>
      <c r="C184" s="524"/>
      <c r="D184" s="841" t="s">
        <v>657</v>
      </c>
      <c r="E184" s="839" t="s">
        <v>657</v>
      </c>
      <c r="F184" s="839" t="s">
        <v>657</v>
      </c>
      <c r="G184" s="836" t="s">
        <v>657</v>
      </c>
      <c r="H184" s="837" t="s">
        <v>657</v>
      </c>
      <c r="I184" s="872"/>
      <c r="J184" s="840" t="s">
        <v>657</v>
      </c>
      <c r="K184" s="525"/>
      <c r="L184" s="520" t="s">
        <v>657</v>
      </c>
      <c r="M184" s="526" t="s">
        <v>657</v>
      </c>
      <c r="N184" s="526" t="s">
        <v>657</v>
      </c>
      <c r="O184" s="516" t="s">
        <v>657</v>
      </c>
      <c r="P184" s="517" t="s">
        <v>657</v>
      </c>
      <c r="Q184" s="527" t="s">
        <v>657</v>
      </c>
      <c r="R184" s="525"/>
      <c r="S184" s="520" t="s">
        <v>657</v>
      </c>
      <c r="T184" s="526" t="s">
        <v>657</v>
      </c>
      <c r="U184" s="526" t="s">
        <v>657</v>
      </c>
      <c r="V184" s="516" t="s">
        <v>657</v>
      </c>
      <c r="W184" s="517" t="s">
        <v>657</v>
      </c>
      <c r="X184" s="527" t="s">
        <v>657</v>
      </c>
    </row>
    <row r="185" spans="1:24" x14ac:dyDescent="0.2">
      <c r="A185" s="522">
        <f t="shared" si="2"/>
        <v>-139</v>
      </c>
      <c r="B185" s="833" t="s">
        <v>657</v>
      </c>
      <c r="C185" s="524"/>
      <c r="D185" s="841" t="s">
        <v>657</v>
      </c>
      <c r="E185" s="839" t="s">
        <v>657</v>
      </c>
      <c r="F185" s="839" t="s">
        <v>657</v>
      </c>
      <c r="G185" s="836" t="s">
        <v>657</v>
      </c>
      <c r="H185" s="837" t="s">
        <v>657</v>
      </c>
      <c r="I185" s="872"/>
      <c r="J185" s="840" t="s">
        <v>657</v>
      </c>
      <c r="K185" s="525"/>
      <c r="L185" s="520" t="s">
        <v>657</v>
      </c>
      <c r="M185" s="526" t="s">
        <v>657</v>
      </c>
      <c r="N185" s="526" t="s">
        <v>657</v>
      </c>
      <c r="O185" s="516" t="s">
        <v>657</v>
      </c>
      <c r="P185" s="517" t="s">
        <v>657</v>
      </c>
      <c r="Q185" s="527" t="s">
        <v>657</v>
      </c>
      <c r="R185" s="525"/>
      <c r="S185" s="520" t="s">
        <v>657</v>
      </c>
      <c r="T185" s="526" t="s">
        <v>657</v>
      </c>
      <c r="U185" s="526" t="s">
        <v>657</v>
      </c>
      <c r="V185" s="516" t="s">
        <v>657</v>
      </c>
      <c r="W185" s="517" t="s">
        <v>657</v>
      </c>
      <c r="X185" s="527" t="s">
        <v>657</v>
      </c>
    </row>
    <row r="186" spans="1:24" x14ac:dyDescent="0.2">
      <c r="A186" s="522">
        <f t="shared" si="2"/>
        <v>-140</v>
      </c>
      <c r="B186" s="833" t="s">
        <v>657</v>
      </c>
      <c r="C186" s="524"/>
      <c r="D186" s="841" t="s">
        <v>657</v>
      </c>
      <c r="E186" s="839" t="s">
        <v>657</v>
      </c>
      <c r="F186" s="839" t="s">
        <v>657</v>
      </c>
      <c r="G186" s="836" t="s">
        <v>657</v>
      </c>
      <c r="H186" s="837" t="s">
        <v>657</v>
      </c>
      <c r="I186" s="872"/>
      <c r="J186" s="840" t="s">
        <v>657</v>
      </c>
      <c r="K186" s="525"/>
      <c r="L186" s="520" t="s">
        <v>657</v>
      </c>
      <c r="M186" s="526" t="s">
        <v>657</v>
      </c>
      <c r="N186" s="526" t="s">
        <v>657</v>
      </c>
      <c r="O186" s="516" t="s">
        <v>657</v>
      </c>
      <c r="P186" s="517" t="s">
        <v>657</v>
      </c>
      <c r="Q186" s="527" t="s">
        <v>657</v>
      </c>
      <c r="R186" s="525"/>
      <c r="S186" s="520" t="s">
        <v>657</v>
      </c>
      <c r="T186" s="526" t="s">
        <v>657</v>
      </c>
      <c r="U186" s="526" t="s">
        <v>657</v>
      </c>
      <c r="V186" s="516" t="s">
        <v>657</v>
      </c>
      <c r="W186" s="517" t="s">
        <v>657</v>
      </c>
      <c r="X186" s="527" t="s">
        <v>657</v>
      </c>
    </row>
    <row r="187" spans="1:24" x14ac:dyDescent="0.2">
      <c r="A187" s="522">
        <f t="shared" si="2"/>
        <v>-141</v>
      </c>
      <c r="B187" s="833" t="s">
        <v>657</v>
      </c>
      <c r="C187" s="524"/>
      <c r="D187" s="841" t="s">
        <v>657</v>
      </c>
      <c r="E187" s="839" t="s">
        <v>657</v>
      </c>
      <c r="F187" s="839" t="s">
        <v>657</v>
      </c>
      <c r="G187" s="836" t="s">
        <v>657</v>
      </c>
      <c r="H187" s="837" t="s">
        <v>657</v>
      </c>
      <c r="I187" s="872"/>
      <c r="J187" s="840" t="s">
        <v>657</v>
      </c>
      <c r="K187" s="525"/>
      <c r="L187" s="520" t="s">
        <v>657</v>
      </c>
      <c r="M187" s="526" t="s">
        <v>657</v>
      </c>
      <c r="N187" s="526" t="s">
        <v>657</v>
      </c>
      <c r="O187" s="516" t="s">
        <v>657</v>
      </c>
      <c r="P187" s="517" t="s">
        <v>657</v>
      </c>
      <c r="Q187" s="527" t="s">
        <v>657</v>
      </c>
      <c r="R187" s="525"/>
      <c r="S187" s="520" t="s">
        <v>657</v>
      </c>
      <c r="T187" s="526" t="s">
        <v>657</v>
      </c>
      <c r="U187" s="526" t="s">
        <v>657</v>
      </c>
      <c r="V187" s="516" t="s">
        <v>657</v>
      </c>
      <c r="W187" s="517" t="s">
        <v>657</v>
      </c>
      <c r="X187" s="527" t="s">
        <v>657</v>
      </c>
    </row>
    <row r="188" spans="1:24" x14ac:dyDescent="0.2">
      <c r="A188" s="522">
        <f t="shared" si="2"/>
        <v>-142</v>
      </c>
      <c r="B188" s="833" t="s">
        <v>657</v>
      </c>
      <c r="C188" s="524"/>
      <c r="D188" s="841" t="s">
        <v>657</v>
      </c>
      <c r="E188" s="839" t="s">
        <v>657</v>
      </c>
      <c r="F188" s="839" t="s">
        <v>657</v>
      </c>
      <c r="G188" s="836" t="s">
        <v>657</v>
      </c>
      <c r="H188" s="837" t="s">
        <v>657</v>
      </c>
      <c r="I188" s="872"/>
      <c r="J188" s="840" t="s">
        <v>657</v>
      </c>
      <c r="K188" s="525"/>
      <c r="L188" s="520" t="s">
        <v>657</v>
      </c>
      <c r="M188" s="526" t="s">
        <v>657</v>
      </c>
      <c r="N188" s="526" t="s">
        <v>657</v>
      </c>
      <c r="O188" s="516" t="s">
        <v>657</v>
      </c>
      <c r="P188" s="517" t="s">
        <v>657</v>
      </c>
      <c r="Q188" s="527" t="s">
        <v>657</v>
      </c>
      <c r="R188" s="525"/>
      <c r="S188" s="520" t="s">
        <v>657</v>
      </c>
      <c r="T188" s="526" t="s">
        <v>657</v>
      </c>
      <c r="U188" s="526" t="s">
        <v>657</v>
      </c>
      <c r="V188" s="516" t="s">
        <v>657</v>
      </c>
      <c r="W188" s="517" t="s">
        <v>657</v>
      </c>
      <c r="X188" s="527" t="s">
        <v>657</v>
      </c>
    </row>
    <row r="189" spans="1:24" x14ac:dyDescent="0.2">
      <c r="A189" s="522">
        <f t="shared" si="2"/>
        <v>-143</v>
      </c>
      <c r="B189" s="833" t="s">
        <v>657</v>
      </c>
      <c r="C189" s="524"/>
      <c r="D189" s="841" t="s">
        <v>657</v>
      </c>
      <c r="E189" s="839" t="s">
        <v>657</v>
      </c>
      <c r="F189" s="839" t="s">
        <v>657</v>
      </c>
      <c r="G189" s="836" t="s">
        <v>657</v>
      </c>
      <c r="H189" s="837" t="s">
        <v>657</v>
      </c>
      <c r="I189" s="872"/>
      <c r="J189" s="840" t="s">
        <v>657</v>
      </c>
      <c r="K189" s="525"/>
      <c r="L189" s="520" t="s">
        <v>657</v>
      </c>
      <c r="M189" s="526" t="s">
        <v>657</v>
      </c>
      <c r="N189" s="526" t="s">
        <v>657</v>
      </c>
      <c r="O189" s="516" t="s">
        <v>657</v>
      </c>
      <c r="P189" s="517" t="s">
        <v>657</v>
      </c>
      <c r="Q189" s="527" t="s">
        <v>657</v>
      </c>
      <c r="R189" s="525"/>
      <c r="S189" s="520" t="s">
        <v>657</v>
      </c>
      <c r="T189" s="526" t="s">
        <v>657</v>
      </c>
      <c r="U189" s="526" t="s">
        <v>657</v>
      </c>
      <c r="V189" s="516" t="s">
        <v>657</v>
      </c>
      <c r="W189" s="517" t="s">
        <v>657</v>
      </c>
      <c r="X189" s="527" t="s">
        <v>657</v>
      </c>
    </row>
    <row r="190" spans="1:24" x14ac:dyDescent="0.2">
      <c r="A190" s="522">
        <f t="shared" si="2"/>
        <v>-144</v>
      </c>
      <c r="B190" s="833" t="s">
        <v>657</v>
      </c>
      <c r="C190" s="524"/>
      <c r="D190" s="841" t="s">
        <v>657</v>
      </c>
      <c r="E190" s="839" t="s">
        <v>657</v>
      </c>
      <c r="F190" s="839" t="s">
        <v>657</v>
      </c>
      <c r="G190" s="836" t="s">
        <v>657</v>
      </c>
      <c r="H190" s="837" t="s">
        <v>657</v>
      </c>
      <c r="I190" s="872"/>
      <c r="J190" s="840" t="s">
        <v>657</v>
      </c>
      <c r="K190" s="525"/>
      <c r="L190" s="520" t="s">
        <v>657</v>
      </c>
      <c r="M190" s="526" t="s">
        <v>657</v>
      </c>
      <c r="N190" s="526" t="s">
        <v>657</v>
      </c>
      <c r="O190" s="516" t="s">
        <v>657</v>
      </c>
      <c r="P190" s="517" t="s">
        <v>657</v>
      </c>
      <c r="Q190" s="527" t="s">
        <v>657</v>
      </c>
      <c r="R190" s="525"/>
      <c r="S190" s="520" t="s">
        <v>657</v>
      </c>
      <c r="T190" s="526" t="s">
        <v>657</v>
      </c>
      <c r="U190" s="526" t="s">
        <v>657</v>
      </c>
      <c r="V190" s="516" t="s">
        <v>657</v>
      </c>
      <c r="W190" s="517" t="s">
        <v>657</v>
      </c>
      <c r="X190" s="527" t="s">
        <v>657</v>
      </c>
    </row>
    <row r="191" spans="1:24" x14ac:dyDescent="0.2">
      <c r="A191" s="522">
        <f t="shared" si="2"/>
        <v>-145</v>
      </c>
      <c r="B191" s="833" t="s">
        <v>657</v>
      </c>
      <c r="C191" s="524"/>
      <c r="D191" s="841" t="s">
        <v>657</v>
      </c>
      <c r="E191" s="839" t="s">
        <v>657</v>
      </c>
      <c r="F191" s="839" t="s">
        <v>657</v>
      </c>
      <c r="G191" s="836" t="s">
        <v>657</v>
      </c>
      <c r="H191" s="837" t="s">
        <v>657</v>
      </c>
      <c r="I191" s="872"/>
      <c r="J191" s="840" t="s">
        <v>657</v>
      </c>
      <c r="K191" s="525"/>
      <c r="L191" s="520" t="s">
        <v>657</v>
      </c>
      <c r="M191" s="526" t="s">
        <v>657</v>
      </c>
      <c r="N191" s="526" t="s">
        <v>657</v>
      </c>
      <c r="O191" s="516" t="s">
        <v>657</v>
      </c>
      <c r="P191" s="517" t="s">
        <v>657</v>
      </c>
      <c r="Q191" s="527" t="s">
        <v>657</v>
      </c>
      <c r="R191" s="525"/>
      <c r="S191" s="520" t="s">
        <v>657</v>
      </c>
      <c r="T191" s="526" t="s">
        <v>657</v>
      </c>
      <c r="U191" s="526" t="s">
        <v>657</v>
      </c>
      <c r="V191" s="516" t="s">
        <v>657</v>
      </c>
      <c r="W191" s="517" t="s">
        <v>657</v>
      </c>
      <c r="X191" s="527" t="s">
        <v>657</v>
      </c>
    </row>
    <row r="192" spans="1:24" x14ac:dyDescent="0.2">
      <c r="A192" s="522">
        <f t="shared" si="2"/>
        <v>-146</v>
      </c>
      <c r="B192" s="833" t="s">
        <v>657</v>
      </c>
      <c r="C192" s="524"/>
      <c r="D192" s="841" t="s">
        <v>657</v>
      </c>
      <c r="E192" s="839" t="s">
        <v>657</v>
      </c>
      <c r="F192" s="839" t="s">
        <v>657</v>
      </c>
      <c r="G192" s="836" t="s">
        <v>657</v>
      </c>
      <c r="H192" s="837" t="s">
        <v>657</v>
      </c>
      <c r="I192" s="872"/>
      <c r="J192" s="840" t="s">
        <v>657</v>
      </c>
      <c r="K192" s="525"/>
      <c r="L192" s="520" t="s">
        <v>657</v>
      </c>
      <c r="M192" s="526" t="s">
        <v>657</v>
      </c>
      <c r="N192" s="526" t="s">
        <v>657</v>
      </c>
      <c r="O192" s="516" t="s">
        <v>657</v>
      </c>
      <c r="P192" s="517" t="s">
        <v>657</v>
      </c>
      <c r="Q192" s="527" t="s">
        <v>657</v>
      </c>
      <c r="R192" s="525"/>
      <c r="S192" s="520" t="s">
        <v>657</v>
      </c>
      <c r="T192" s="526" t="s">
        <v>657</v>
      </c>
      <c r="U192" s="526" t="s">
        <v>657</v>
      </c>
      <c r="V192" s="516" t="s">
        <v>657</v>
      </c>
      <c r="W192" s="517" t="s">
        <v>657</v>
      </c>
      <c r="X192" s="527" t="s">
        <v>657</v>
      </c>
    </row>
    <row r="193" spans="1:24" x14ac:dyDescent="0.2">
      <c r="A193" s="522">
        <f t="shared" si="2"/>
        <v>-147</v>
      </c>
      <c r="B193" s="833" t="s">
        <v>657</v>
      </c>
      <c r="C193" s="524"/>
      <c r="D193" s="841" t="s">
        <v>657</v>
      </c>
      <c r="E193" s="839" t="s">
        <v>657</v>
      </c>
      <c r="F193" s="839" t="s">
        <v>657</v>
      </c>
      <c r="G193" s="836" t="s">
        <v>657</v>
      </c>
      <c r="H193" s="837" t="s">
        <v>657</v>
      </c>
      <c r="I193" s="872"/>
      <c r="J193" s="840" t="s">
        <v>657</v>
      </c>
      <c r="K193" s="525"/>
      <c r="L193" s="520" t="s">
        <v>657</v>
      </c>
      <c r="M193" s="526" t="s">
        <v>657</v>
      </c>
      <c r="N193" s="526" t="s">
        <v>657</v>
      </c>
      <c r="O193" s="516" t="s">
        <v>657</v>
      </c>
      <c r="P193" s="517" t="s">
        <v>657</v>
      </c>
      <c r="Q193" s="527" t="s">
        <v>657</v>
      </c>
      <c r="R193" s="525"/>
      <c r="S193" s="520" t="s">
        <v>657</v>
      </c>
      <c r="T193" s="526" t="s">
        <v>657</v>
      </c>
      <c r="U193" s="526" t="s">
        <v>657</v>
      </c>
      <c r="V193" s="516" t="s">
        <v>657</v>
      </c>
      <c r="W193" s="517" t="s">
        <v>657</v>
      </c>
      <c r="X193" s="527" t="s">
        <v>657</v>
      </c>
    </row>
    <row r="194" spans="1:24" x14ac:dyDescent="0.2">
      <c r="A194" s="522">
        <f t="shared" si="2"/>
        <v>-148</v>
      </c>
      <c r="B194" s="833" t="s">
        <v>657</v>
      </c>
      <c r="C194" s="524"/>
      <c r="D194" s="841" t="s">
        <v>657</v>
      </c>
      <c r="E194" s="839" t="s">
        <v>657</v>
      </c>
      <c r="F194" s="839" t="s">
        <v>657</v>
      </c>
      <c r="G194" s="836" t="s">
        <v>657</v>
      </c>
      <c r="H194" s="837" t="s">
        <v>657</v>
      </c>
      <c r="I194" s="872"/>
      <c r="J194" s="840" t="s">
        <v>657</v>
      </c>
      <c r="K194" s="525"/>
      <c r="L194" s="520" t="s">
        <v>657</v>
      </c>
      <c r="M194" s="526" t="s">
        <v>657</v>
      </c>
      <c r="N194" s="526" t="s">
        <v>657</v>
      </c>
      <c r="O194" s="516" t="s">
        <v>657</v>
      </c>
      <c r="P194" s="517" t="s">
        <v>657</v>
      </c>
      <c r="Q194" s="527" t="s">
        <v>657</v>
      </c>
      <c r="R194" s="525"/>
      <c r="S194" s="520" t="s">
        <v>657</v>
      </c>
      <c r="T194" s="526" t="s">
        <v>657</v>
      </c>
      <c r="U194" s="526" t="s">
        <v>657</v>
      </c>
      <c r="V194" s="516" t="s">
        <v>657</v>
      </c>
      <c r="W194" s="517" t="s">
        <v>657</v>
      </c>
      <c r="X194" s="527" t="s">
        <v>657</v>
      </c>
    </row>
    <row r="195" spans="1:24" x14ac:dyDescent="0.2">
      <c r="A195" s="522">
        <f t="shared" si="2"/>
        <v>-149</v>
      </c>
      <c r="B195" s="833" t="s">
        <v>657</v>
      </c>
      <c r="C195" s="524"/>
      <c r="D195" s="841" t="s">
        <v>657</v>
      </c>
      <c r="E195" s="839" t="s">
        <v>657</v>
      </c>
      <c r="F195" s="839" t="s">
        <v>657</v>
      </c>
      <c r="G195" s="836" t="s">
        <v>657</v>
      </c>
      <c r="H195" s="837" t="s">
        <v>657</v>
      </c>
      <c r="I195" s="872"/>
      <c r="J195" s="840" t="s">
        <v>657</v>
      </c>
      <c r="K195" s="525"/>
      <c r="L195" s="520" t="s">
        <v>657</v>
      </c>
      <c r="M195" s="526" t="s">
        <v>657</v>
      </c>
      <c r="N195" s="526" t="s">
        <v>657</v>
      </c>
      <c r="O195" s="516" t="s">
        <v>657</v>
      </c>
      <c r="P195" s="517" t="s">
        <v>657</v>
      </c>
      <c r="Q195" s="527" t="s">
        <v>657</v>
      </c>
      <c r="R195" s="525"/>
      <c r="S195" s="520" t="s">
        <v>657</v>
      </c>
      <c r="T195" s="526" t="s">
        <v>657</v>
      </c>
      <c r="U195" s="526" t="s">
        <v>657</v>
      </c>
      <c r="V195" s="516" t="s">
        <v>657</v>
      </c>
      <c r="W195" s="517" t="s">
        <v>657</v>
      </c>
      <c r="X195" s="527" t="s">
        <v>657</v>
      </c>
    </row>
    <row r="196" spans="1:24" x14ac:dyDescent="0.2">
      <c r="A196" s="522">
        <f t="shared" si="2"/>
        <v>-150</v>
      </c>
      <c r="B196" s="833" t="s">
        <v>657</v>
      </c>
      <c r="C196" s="524"/>
      <c r="D196" s="841" t="s">
        <v>657</v>
      </c>
      <c r="E196" s="839" t="s">
        <v>657</v>
      </c>
      <c r="F196" s="839" t="s">
        <v>657</v>
      </c>
      <c r="G196" s="836" t="s">
        <v>657</v>
      </c>
      <c r="H196" s="837" t="s">
        <v>657</v>
      </c>
      <c r="I196" s="872"/>
      <c r="J196" s="840" t="s">
        <v>657</v>
      </c>
      <c r="K196" s="525"/>
      <c r="L196" s="520" t="s">
        <v>657</v>
      </c>
      <c r="M196" s="526" t="s">
        <v>657</v>
      </c>
      <c r="N196" s="526" t="s">
        <v>657</v>
      </c>
      <c r="O196" s="516" t="s">
        <v>657</v>
      </c>
      <c r="P196" s="517" t="s">
        <v>657</v>
      </c>
      <c r="Q196" s="527" t="s">
        <v>657</v>
      </c>
      <c r="R196" s="525"/>
      <c r="S196" s="520" t="s">
        <v>657</v>
      </c>
      <c r="T196" s="526" t="s">
        <v>657</v>
      </c>
      <c r="U196" s="526" t="s">
        <v>657</v>
      </c>
      <c r="V196" s="516" t="s">
        <v>657</v>
      </c>
      <c r="W196" s="517" t="s">
        <v>657</v>
      </c>
      <c r="X196" s="527" t="s">
        <v>657</v>
      </c>
    </row>
    <row r="197" spans="1:24" x14ac:dyDescent="0.2">
      <c r="A197" s="522">
        <f t="shared" si="2"/>
        <v>-151</v>
      </c>
      <c r="B197" s="833" t="s">
        <v>657</v>
      </c>
      <c r="C197" s="524"/>
      <c r="D197" s="841" t="s">
        <v>657</v>
      </c>
      <c r="E197" s="839" t="s">
        <v>657</v>
      </c>
      <c r="F197" s="839" t="s">
        <v>657</v>
      </c>
      <c r="G197" s="836" t="s">
        <v>657</v>
      </c>
      <c r="H197" s="837" t="s">
        <v>657</v>
      </c>
      <c r="I197" s="872"/>
      <c r="J197" s="840" t="s">
        <v>657</v>
      </c>
      <c r="K197" s="525"/>
      <c r="L197" s="520" t="s">
        <v>657</v>
      </c>
      <c r="M197" s="526" t="s">
        <v>657</v>
      </c>
      <c r="N197" s="526" t="s">
        <v>657</v>
      </c>
      <c r="O197" s="516" t="s">
        <v>657</v>
      </c>
      <c r="P197" s="517" t="s">
        <v>657</v>
      </c>
      <c r="Q197" s="527" t="s">
        <v>657</v>
      </c>
      <c r="R197" s="525"/>
      <c r="S197" s="520" t="s">
        <v>657</v>
      </c>
      <c r="T197" s="526" t="s">
        <v>657</v>
      </c>
      <c r="U197" s="526" t="s">
        <v>657</v>
      </c>
      <c r="V197" s="516" t="s">
        <v>657</v>
      </c>
      <c r="W197" s="517" t="s">
        <v>657</v>
      </c>
      <c r="X197" s="527" t="s">
        <v>657</v>
      </c>
    </row>
    <row r="198" spans="1:24" x14ac:dyDescent="0.2">
      <c r="A198" s="522">
        <f t="shared" si="2"/>
        <v>-152</v>
      </c>
      <c r="B198" s="833" t="s">
        <v>657</v>
      </c>
      <c r="C198" s="524"/>
      <c r="D198" s="841" t="s">
        <v>657</v>
      </c>
      <c r="E198" s="839" t="s">
        <v>657</v>
      </c>
      <c r="F198" s="839" t="s">
        <v>657</v>
      </c>
      <c r="G198" s="836" t="s">
        <v>657</v>
      </c>
      <c r="H198" s="837" t="s">
        <v>657</v>
      </c>
      <c r="I198" s="872"/>
      <c r="J198" s="840" t="s">
        <v>657</v>
      </c>
      <c r="K198" s="525"/>
      <c r="L198" s="520" t="s">
        <v>657</v>
      </c>
      <c r="M198" s="526" t="s">
        <v>657</v>
      </c>
      <c r="N198" s="526" t="s">
        <v>657</v>
      </c>
      <c r="O198" s="516" t="s">
        <v>657</v>
      </c>
      <c r="P198" s="517" t="s">
        <v>657</v>
      </c>
      <c r="Q198" s="527" t="s">
        <v>657</v>
      </c>
      <c r="R198" s="525"/>
      <c r="S198" s="520" t="s">
        <v>657</v>
      </c>
      <c r="T198" s="526" t="s">
        <v>657</v>
      </c>
      <c r="U198" s="526" t="s">
        <v>657</v>
      </c>
      <c r="V198" s="516" t="s">
        <v>657</v>
      </c>
      <c r="W198" s="517" t="s">
        <v>657</v>
      </c>
      <c r="X198" s="527" t="s">
        <v>657</v>
      </c>
    </row>
    <row r="199" spans="1:24" x14ac:dyDescent="0.2">
      <c r="A199" s="522">
        <f t="shared" si="2"/>
        <v>-153</v>
      </c>
      <c r="B199" s="833" t="s">
        <v>657</v>
      </c>
      <c r="C199" s="524"/>
      <c r="D199" s="841" t="s">
        <v>657</v>
      </c>
      <c r="E199" s="839" t="s">
        <v>657</v>
      </c>
      <c r="F199" s="839" t="s">
        <v>657</v>
      </c>
      <c r="G199" s="836" t="s">
        <v>657</v>
      </c>
      <c r="H199" s="837" t="s">
        <v>657</v>
      </c>
      <c r="I199" s="872"/>
      <c r="J199" s="840" t="s">
        <v>657</v>
      </c>
      <c r="K199" s="525"/>
      <c r="L199" s="520" t="s">
        <v>657</v>
      </c>
      <c r="M199" s="526" t="s">
        <v>657</v>
      </c>
      <c r="N199" s="526" t="s">
        <v>657</v>
      </c>
      <c r="O199" s="516" t="s">
        <v>657</v>
      </c>
      <c r="P199" s="517" t="s">
        <v>657</v>
      </c>
      <c r="Q199" s="527" t="s">
        <v>657</v>
      </c>
      <c r="R199" s="525"/>
      <c r="S199" s="520" t="s">
        <v>657</v>
      </c>
      <c r="T199" s="526" t="s">
        <v>657</v>
      </c>
      <c r="U199" s="526" t="s">
        <v>657</v>
      </c>
      <c r="V199" s="516" t="s">
        <v>657</v>
      </c>
      <c r="W199" s="517" t="s">
        <v>657</v>
      </c>
      <c r="X199" s="527" t="s">
        <v>657</v>
      </c>
    </row>
    <row r="200" spans="1:24" x14ac:dyDescent="0.2">
      <c r="A200" s="522">
        <f t="shared" si="2"/>
        <v>-154</v>
      </c>
      <c r="B200" s="833" t="s">
        <v>657</v>
      </c>
      <c r="C200" s="524"/>
      <c r="D200" s="841" t="s">
        <v>657</v>
      </c>
      <c r="E200" s="839" t="s">
        <v>657</v>
      </c>
      <c r="F200" s="839" t="s">
        <v>657</v>
      </c>
      <c r="G200" s="836" t="s">
        <v>657</v>
      </c>
      <c r="H200" s="837" t="s">
        <v>657</v>
      </c>
      <c r="I200" s="872"/>
      <c r="J200" s="840" t="s">
        <v>657</v>
      </c>
      <c r="K200" s="525"/>
      <c r="L200" s="520" t="s">
        <v>657</v>
      </c>
      <c r="M200" s="526" t="s">
        <v>657</v>
      </c>
      <c r="N200" s="526" t="s">
        <v>657</v>
      </c>
      <c r="O200" s="516" t="s">
        <v>657</v>
      </c>
      <c r="P200" s="517" t="s">
        <v>657</v>
      </c>
      <c r="Q200" s="527" t="s">
        <v>657</v>
      </c>
      <c r="R200" s="525"/>
      <c r="S200" s="520" t="s">
        <v>657</v>
      </c>
      <c r="T200" s="526" t="s">
        <v>657</v>
      </c>
      <c r="U200" s="526" t="s">
        <v>657</v>
      </c>
      <c r="V200" s="516" t="s">
        <v>657</v>
      </c>
      <c r="W200" s="517" t="s">
        <v>657</v>
      </c>
      <c r="X200" s="527" t="s">
        <v>657</v>
      </c>
    </row>
    <row r="201" spans="1:24" x14ac:dyDescent="0.2">
      <c r="A201" s="522">
        <f t="shared" si="2"/>
        <v>-155</v>
      </c>
      <c r="B201" s="833" t="s">
        <v>657</v>
      </c>
      <c r="C201" s="524"/>
      <c r="D201" s="841" t="s">
        <v>657</v>
      </c>
      <c r="E201" s="839" t="s">
        <v>657</v>
      </c>
      <c r="F201" s="839" t="s">
        <v>657</v>
      </c>
      <c r="G201" s="836" t="s">
        <v>657</v>
      </c>
      <c r="H201" s="837" t="s">
        <v>657</v>
      </c>
      <c r="I201" s="872"/>
      <c r="J201" s="840" t="s">
        <v>657</v>
      </c>
      <c r="K201" s="525"/>
      <c r="L201" s="520" t="s">
        <v>657</v>
      </c>
      <c r="M201" s="526" t="s">
        <v>657</v>
      </c>
      <c r="N201" s="526" t="s">
        <v>657</v>
      </c>
      <c r="O201" s="516" t="s">
        <v>657</v>
      </c>
      <c r="P201" s="517" t="s">
        <v>657</v>
      </c>
      <c r="Q201" s="527" t="s">
        <v>657</v>
      </c>
      <c r="R201" s="525"/>
      <c r="S201" s="520" t="s">
        <v>657</v>
      </c>
      <c r="T201" s="526" t="s">
        <v>657</v>
      </c>
      <c r="U201" s="526" t="s">
        <v>657</v>
      </c>
      <c r="V201" s="516" t="s">
        <v>657</v>
      </c>
      <c r="W201" s="517" t="s">
        <v>657</v>
      </c>
      <c r="X201" s="527" t="s">
        <v>657</v>
      </c>
    </row>
    <row r="202" spans="1:24" x14ac:dyDescent="0.2">
      <c r="A202" s="522">
        <f t="shared" si="2"/>
        <v>-156</v>
      </c>
      <c r="B202" s="833" t="s">
        <v>657</v>
      </c>
      <c r="C202" s="524"/>
      <c r="D202" s="841" t="s">
        <v>657</v>
      </c>
      <c r="E202" s="839" t="s">
        <v>657</v>
      </c>
      <c r="F202" s="839" t="s">
        <v>657</v>
      </c>
      <c r="G202" s="836" t="s">
        <v>657</v>
      </c>
      <c r="H202" s="837" t="s">
        <v>657</v>
      </c>
      <c r="I202" s="872"/>
      <c r="J202" s="840" t="s">
        <v>657</v>
      </c>
      <c r="K202" s="525"/>
      <c r="L202" s="520" t="s">
        <v>657</v>
      </c>
      <c r="M202" s="526" t="s">
        <v>657</v>
      </c>
      <c r="N202" s="526" t="s">
        <v>657</v>
      </c>
      <c r="O202" s="516" t="s">
        <v>657</v>
      </c>
      <c r="P202" s="517" t="s">
        <v>657</v>
      </c>
      <c r="Q202" s="527" t="s">
        <v>657</v>
      </c>
      <c r="R202" s="525"/>
      <c r="S202" s="520" t="s">
        <v>657</v>
      </c>
      <c r="T202" s="526" t="s">
        <v>657</v>
      </c>
      <c r="U202" s="526" t="s">
        <v>657</v>
      </c>
      <c r="V202" s="516" t="s">
        <v>657</v>
      </c>
      <c r="W202" s="517" t="s">
        <v>657</v>
      </c>
      <c r="X202" s="527" t="s">
        <v>657</v>
      </c>
    </row>
    <row r="203" spans="1:24" x14ac:dyDescent="0.2">
      <c r="A203" s="522">
        <f t="shared" si="2"/>
        <v>-157</v>
      </c>
      <c r="B203" s="833" t="s">
        <v>657</v>
      </c>
      <c r="C203" s="524"/>
      <c r="D203" s="841" t="s">
        <v>657</v>
      </c>
      <c r="E203" s="839" t="s">
        <v>657</v>
      </c>
      <c r="F203" s="839" t="s">
        <v>657</v>
      </c>
      <c r="G203" s="836" t="s">
        <v>657</v>
      </c>
      <c r="H203" s="837" t="s">
        <v>657</v>
      </c>
      <c r="I203" s="872"/>
      <c r="J203" s="840" t="s">
        <v>657</v>
      </c>
      <c r="K203" s="525"/>
      <c r="L203" s="520" t="s">
        <v>657</v>
      </c>
      <c r="M203" s="526" t="s">
        <v>657</v>
      </c>
      <c r="N203" s="526" t="s">
        <v>657</v>
      </c>
      <c r="O203" s="516" t="s">
        <v>657</v>
      </c>
      <c r="P203" s="517" t="s">
        <v>657</v>
      </c>
      <c r="Q203" s="527" t="s">
        <v>657</v>
      </c>
      <c r="R203" s="525"/>
      <c r="S203" s="520" t="s">
        <v>657</v>
      </c>
      <c r="T203" s="526" t="s">
        <v>657</v>
      </c>
      <c r="U203" s="526" t="s">
        <v>657</v>
      </c>
      <c r="V203" s="516" t="s">
        <v>657</v>
      </c>
      <c r="W203" s="517" t="s">
        <v>657</v>
      </c>
      <c r="X203" s="527" t="s">
        <v>657</v>
      </c>
    </row>
    <row r="204" spans="1:24" x14ac:dyDescent="0.2">
      <c r="A204" s="522">
        <f t="shared" si="2"/>
        <v>-158</v>
      </c>
      <c r="B204" s="833" t="s">
        <v>657</v>
      </c>
      <c r="C204" s="524"/>
      <c r="D204" s="841" t="s">
        <v>657</v>
      </c>
      <c r="E204" s="839" t="s">
        <v>657</v>
      </c>
      <c r="F204" s="839" t="s">
        <v>657</v>
      </c>
      <c r="G204" s="836" t="s">
        <v>657</v>
      </c>
      <c r="H204" s="837" t="s">
        <v>657</v>
      </c>
      <c r="I204" s="872"/>
      <c r="J204" s="840" t="s">
        <v>657</v>
      </c>
      <c r="K204" s="525"/>
      <c r="L204" s="520" t="s">
        <v>657</v>
      </c>
      <c r="M204" s="526" t="s">
        <v>657</v>
      </c>
      <c r="N204" s="526" t="s">
        <v>657</v>
      </c>
      <c r="O204" s="516" t="s">
        <v>657</v>
      </c>
      <c r="P204" s="517" t="s">
        <v>657</v>
      </c>
      <c r="Q204" s="527" t="s">
        <v>657</v>
      </c>
      <c r="R204" s="525"/>
      <c r="S204" s="520" t="s">
        <v>657</v>
      </c>
      <c r="T204" s="526" t="s">
        <v>657</v>
      </c>
      <c r="U204" s="526" t="s">
        <v>657</v>
      </c>
      <c r="V204" s="516" t="s">
        <v>657</v>
      </c>
      <c r="W204" s="517" t="s">
        <v>657</v>
      </c>
      <c r="X204" s="527" t="s">
        <v>657</v>
      </c>
    </row>
    <row r="205" spans="1:24" x14ac:dyDescent="0.2">
      <c r="A205" s="522">
        <f t="shared" si="2"/>
        <v>-159</v>
      </c>
      <c r="B205" s="833" t="s">
        <v>657</v>
      </c>
      <c r="C205" s="524"/>
      <c r="D205" s="841" t="s">
        <v>657</v>
      </c>
      <c r="E205" s="839" t="s">
        <v>657</v>
      </c>
      <c r="F205" s="839" t="s">
        <v>657</v>
      </c>
      <c r="G205" s="836" t="s">
        <v>657</v>
      </c>
      <c r="H205" s="837" t="s">
        <v>657</v>
      </c>
      <c r="I205" s="872"/>
      <c r="J205" s="840" t="s">
        <v>657</v>
      </c>
      <c r="K205" s="525"/>
      <c r="L205" s="520" t="s">
        <v>657</v>
      </c>
      <c r="M205" s="526" t="s">
        <v>657</v>
      </c>
      <c r="N205" s="526" t="s">
        <v>657</v>
      </c>
      <c r="O205" s="516" t="s">
        <v>657</v>
      </c>
      <c r="P205" s="517" t="s">
        <v>657</v>
      </c>
      <c r="Q205" s="527" t="s">
        <v>657</v>
      </c>
      <c r="R205" s="525"/>
      <c r="S205" s="520" t="s">
        <v>657</v>
      </c>
      <c r="T205" s="526" t="s">
        <v>657</v>
      </c>
      <c r="U205" s="526" t="s">
        <v>657</v>
      </c>
      <c r="V205" s="516" t="s">
        <v>657</v>
      </c>
      <c r="W205" s="517" t="s">
        <v>657</v>
      </c>
      <c r="X205" s="527" t="s">
        <v>657</v>
      </c>
    </row>
    <row r="206" spans="1:24" x14ac:dyDescent="0.2">
      <c r="A206" s="522">
        <f t="shared" si="2"/>
        <v>-160</v>
      </c>
      <c r="B206" s="833" t="s">
        <v>657</v>
      </c>
      <c r="C206" s="524"/>
      <c r="D206" s="841" t="s">
        <v>657</v>
      </c>
      <c r="E206" s="839" t="s">
        <v>657</v>
      </c>
      <c r="F206" s="839" t="s">
        <v>657</v>
      </c>
      <c r="G206" s="836" t="s">
        <v>657</v>
      </c>
      <c r="H206" s="837" t="s">
        <v>657</v>
      </c>
      <c r="I206" s="872"/>
      <c r="J206" s="840" t="s">
        <v>657</v>
      </c>
      <c r="K206" s="525"/>
      <c r="L206" s="520" t="s">
        <v>657</v>
      </c>
      <c r="M206" s="526" t="s">
        <v>657</v>
      </c>
      <c r="N206" s="526" t="s">
        <v>657</v>
      </c>
      <c r="O206" s="516" t="s">
        <v>657</v>
      </c>
      <c r="P206" s="517" t="s">
        <v>657</v>
      </c>
      <c r="Q206" s="527" t="s">
        <v>657</v>
      </c>
      <c r="R206" s="525"/>
      <c r="S206" s="520" t="s">
        <v>657</v>
      </c>
      <c r="T206" s="526" t="s">
        <v>657</v>
      </c>
      <c r="U206" s="526" t="s">
        <v>657</v>
      </c>
      <c r="V206" s="516" t="s">
        <v>657</v>
      </c>
      <c r="W206" s="517" t="s">
        <v>657</v>
      </c>
      <c r="X206" s="527" t="s">
        <v>657</v>
      </c>
    </row>
    <row r="207" spans="1:24" x14ac:dyDescent="0.2">
      <c r="A207" s="522">
        <f t="shared" si="2"/>
        <v>-161</v>
      </c>
      <c r="B207" s="833" t="s">
        <v>657</v>
      </c>
      <c r="C207" s="524"/>
      <c r="D207" s="841" t="s">
        <v>657</v>
      </c>
      <c r="E207" s="839" t="s">
        <v>657</v>
      </c>
      <c r="F207" s="839" t="s">
        <v>657</v>
      </c>
      <c r="G207" s="836" t="s">
        <v>657</v>
      </c>
      <c r="H207" s="837" t="s">
        <v>657</v>
      </c>
      <c r="I207" s="872"/>
      <c r="J207" s="840" t="s">
        <v>657</v>
      </c>
      <c r="K207" s="525"/>
      <c r="L207" s="520" t="s">
        <v>657</v>
      </c>
      <c r="M207" s="526" t="s">
        <v>657</v>
      </c>
      <c r="N207" s="526" t="s">
        <v>657</v>
      </c>
      <c r="O207" s="516" t="s">
        <v>657</v>
      </c>
      <c r="P207" s="517" t="s">
        <v>657</v>
      </c>
      <c r="Q207" s="527" t="s">
        <v>657</v>
      </c>
      <c r="R207" s="525"/>
      <c r="S207" s="520" t="s">
        <v>657</v>
      </c>
      <c r="T207" s="526" t="s">
        <v>657</v>
      </c>
      <c r="U207" s="526" t="s">
        <v>657</v>
      </c>
      <c r="V207" s="516" t="s">
        <v>657</v>
      </c>
      <c r="W207" s="517" t="s">
        <v>657</v>
      </c>
      <c r="X207" s="527" t="s">
        <v>657</v>
      </c>
    </row>
    <row r="208" spans="1:24" x14ac:dyDescent="0.2">
      <c r="A208" s="522">
        <f t="shared" si="2"/>
        <v>-162</v>
      </c>
      <c r="B208" s="833" t="s">
        <v>657</v>
      </c>
      <c r="C208" s="524"/>
      <c r="D208" s="841" t="s">
        <v>657</v>
      </c>
      <c r="E208" s="839" t="s">
        <v>657</v>
      </c>
      <c r="F208" s="839" t="s">
        <v>657</v>
      </c>
      <c r="G208" s="836" t="s">
        <v>657</v>
      </c>
      <c r="H208" s="837" t="s">
        <v>657</v>
      </c>
      <c r="I208" s="872"/>
      <c r="J208" s="840" t="s">
        <v>657</v>
      </c>
      <c r="K208" s="525"/>
      <c r="L208" s="520" t="s">
        <v>657</v>
      </c>
      <c r="M208" s="526" t="s">
        <v>657</v>
      </c>
      <c r="N208" s="526" t="s">
        <v>657</v>
      </c>
      <c r="O208" s="516" t="s">
        <v>657</v>
      </c>
      <c r="P208" s="517" t="s">
        <v>657</v>
      </c>
      <c r="Q208" s="527" t="s">
        <v>657</v>
      </c>
      <c r="R208" s="525"/>
      <c r="S208" s="520" t="s">
        <v>657</v>
      </c>
      <c r="T208" s="526" t="s">
        <v>657</v>
      </c>
      <c r="U208" s="526" t="s">
        <v>657</v>
      </c>
      <c r="V208" s="516" t="s">
        <v>657</v>
      </c>
      <c r="W208" s="517" t="s">
        <v>657</v>
      </c>
      <c r="X208" s="527" t="s">
        <v>657</v>
      </c>
    </row>
    <row r="209" spans="1:24" x14ac:dyDescent="0.2">
      <c r="A209" s="522">
        <f t="shared" si="2"/>
        <v>-163</v>
      </c>
      <c r="B209" s="833" t="s">
        <v>657</v>
      </c>
      <c r="C209" s="524"/>
      <c r="D209" s="841" t="s">
        <v>657</v>
      </c>
      <c r="E209" s="839" t="s">
        <v>657</v>
      </c>
      <c r="F209" s="839" t="s">
        <v>657</v>
      </c>
      <c r="G209" s="836" t="s">
        <v>657</v>
      </c>
      <c r="H209" s="837" t="s">
        <v>657</v>
      </c>
      <c r="I209" s="872"/>
      <c r="J209" s="840" t="s">
        <v>657</v>
      </c>
      <c r="K209" s="525"/>
      <c r="L209" s="520" t="s">
        <v>657</v>
      </c>
      <c r="M209" s="526" t="s">
        <v>657</v>
      </c>
      <c r="N209" s="526" t="s">
        <v>657</v>
      </c>
      <c r="O209" s="516" t="s">
        <v>657</v>
      </c>
      <c r="P209" s="517" t="s">
        <v>657</v>
      </c>
      <c r="Q209" s="527" t="s">
        <v>657</v>
      </c>
      <c r="R209" s="525"/>
      <c r="S209" s="520" t="s">
        <v>657</v>
      </c>
      <c r="T209" s="526" t="s">
        <v>657</v>
      </c>
      <c r="U209" s="526" t="s">
        <v>657</v>
      </c>
      <c r="V209" s="516" t="s">
        <v>657</v>
      </c>
      <c r="W209" s="517" t="s">
        <v>657</v>
      </c>
      <c r="X209" s="527" t="s">
        <v>657</v>
      </c>
    </row>
    <row r="210" spans="1:24" x14ac:dyDescent="0.2">
      <c r="A210" s="522">
        <f t="shared" si="2"/>
        <v>-164</v>
      </c>
      <c r="B210" s="833" t="s">
        <v>657</v>
      </c>
      <c r="C210" s="524"/>
      <c r="D210" s="841" t="s">
        <v>657</v>
      </c>
      <c r="E210" s="839" t="s">
        <v>657</v>
      </c>
      <c r="F210" s="839" t="s">
        <v>657</v>
      </c>
      <c r="G210" s="836" t="s">
        <v>657</v>
      </c>
      <c r="H210" s="837" t="s">
        <v>657</v>
      </c>
      <c r="I210" s="872"/>
      <c r="J210" s="840" t="s">
        <v>657</v>
      </c>
      <c r="K210" s="525"/>
      <c r="L210" s="520" t="s">
        <v>657</v>
      </c>
      <c r="M210" s="526" t="s">
        <v>657</v>
      </c>
      <c r="N210" s="526" t="s">
        <v>657</v>
      </c>
      <c r="O210" s="516" t="s">
        <v>657</v>
      </c>
      <c r="P210" s="517" t="s">
        <v>657</v>
      </c>
      <c r="Q210" s="527" t="s">
        <v>657</v>
      </c>
      <c r="R210" s="525"/>
      <c r="S210" s="520" t="s">
        <v>657</v>
      </c>
      <c r="T210" s="526" t="s">
        <v>657</v>
      </c>
      <c r="U210" s="526" t="s">
        <v>657</v>
      </c>
      <c r="V210" s="516" t="s">
        <v>657</v>
      </c>
      <c r="W210" s="517" t="s">
        <v>657</v>
      </c>
      <c r="X210" s="527" t="s">
        <v>657</v>
      </c>
    </row>
    <row r="211" spans="1:24" x14ac:dyDescent="0.2">
      <c r="A211" s="522">
        <f t="shared" si="2"/>
        <v>-165</v>
      </c>
      <c r="B211" s="833" t="s">
        <v>657</v>
      </c>
      <c r="C211" s="524"/>
      <c r="D211" s="841" t="s">
        <v>657</v>
      </c>
      <c r="E211" s="839" t="s">
        <v>657</v>
      </c>
      <c r="F211" s="839" t="s">
        <v>657</v>
      </c>
      <c r="G211" s="836" t="s">
        <v>657</v>
      </c>
      <c r="H211" s="837" t="s">
        <v>657</v>
      </c>
      <c r="I211" s="872"/>
      <c r="J211" s="840" t="s">
        <v>657</v>
      </c>
      <c r="K211" s="525"/>
      <c r="L211" s="520" t="s">
        <v>657</v>
      </c>
      <c r="M211" s="526" t="s">
        <v>657</v>
      </c>
      <c r="N211" s="526" t="s">
        <v>657</v>
      </c>
      <c r="O211" s="516" t="s">
        <v>657</v>
      </c>
      <c r="P211" s="517" t="s">
        <v>657</v>
      </c>
      <c r="Q211" s="527" t="s">
        <v>657</v>
      </c>
      <c r="R211" s="525"/>
      <c r="S211" s="520" t="s">
        <v>657</v>
      </c>
      <c r="T211" s="526" t="s">
        <v>657</v>
      </c>
      <c r="U211" s="526" t="s">
        <v>657</v>
      </c>
      <c r="V211" s="516" t="s">
        <v>657</v>
      </c>
      <c r="W211" s="517" t="s">
        <v>657</v>
      </c>
      <c r="X211" s="527" t="s">
        <v>657</v>
      </c>
    </row>
    <row r="212" spans="1:24" x14ac:dyDescent="0.2">
      <c r="A212" s="522">
        <f t="shared" si="2"/>
        <v>-166</v>
      </c>
      <c r="B212" s="833" t="s">
        <v>657</v>
      </c>
      <c r="C212" s="524"/>
      <c r="D212" s="841" t="s">
        <v>657</v>
      </c>
      <c r="E212" s="839" t="s">
        <v>657</v>
      </c>
      <c r="F212" s="839" t="s">
        <v>657</v>
      </c>
      <c r="G212" s="836" t="s">
        <v>657</v>
      </c>
      <c r="H212" s="837" t="s">
        <v>657</v>
      </c>
      <c r="I212" s="872"/>
      <c r="J212" s="840" t="s">
        <v>657</v>
      </c>
      <c r="K212" s="525"/>
      <c r="L212" s="520" t="s">
        <v>657</v>
      </c>
      <c r="M212" s="526" t="s">
        <v>657</v>
      </c>
      <c r="N212" s="526" t="s">
        <v>657</v>
      </c>
      <c r="O212" s="516" t="s">
        <v>657</v>
      </c>
      <c r="P212" s="517" t="s">
        <v>657</v>
      </c>
      <c r="Q212" s="527" t="s">
        <v>657</v>
      </c>
      <c r="R212" s="525"/>
      <c r="S212" s="520" t="s">
        <v>657</v>
      </c>
      <c r="T212" s="526" t="s">
        <v>657</v>
      </c>
      <c r="U212" s="526" t="s">
        <v>657</v>
      </c>
      <c r="V212" s="516" t="s">
        <v>657</v>
      </c>
      <c r="W212" s="517" t="s">
        <v>657</v>
      </c>
      <c r="X212" s="527" t="s">
        <v>657</v>
      </c>
    </row>
    <row r="213" spans="1:24" x14ac:dyDescent="0.2">
      <c r="A213" s="522">
        <f t="shared" si="2"/>
        <v>-167</v>
      </c>
      <c r="B213" s="833" t="s">
        <v>657</v>
      </c>
      <c r="C213" s="524"/>
      <c r="D213" s="841" t="s">
        <v>657</v>
      </c>
      <c r="E213" s="839" t="s">
        <v>657</v>
      </c>
      <c r="F213" s="839" t="s">
        <v>657</v>
      </c>
      <c r="G213" s="836" t="s">
        <v>657</v>
      </c>
      <c r="H213" s="837" t="s">
        <v>657</v>
      </c>
      <c r="I213" s="872"/>
      <c r="J213" s="840" t="s">
        <v>657</v>
      </c>
      <c r="K213" s="525"/>
      <c r="L213" s="520" t="s">
        <v>657</v>
      </c>
      <c r="M213" s="526" t="s">
        <v>657</v>
      </c>
      <c r="N213" s="526" t="s">
        <v>657</v>
      </c>
      <c r="O213" s="516" t="s">
        <v>657</v>
      </c>
      <c r="P213" s="517" t="s">
        <v>657</v>
      </c>
      <c r="Q213" s="527" t="s">
        <v>657</v>
      </c>
      <c r="R213" s="525"/>
      <c r="S213" s="520" t="s">
        <v>657</v>
      </c>
      <c r="T213" s="526" t="s">
        <v>657</v>
      </c>
      <c r="U213" s="526" t="s">
        <v>657</v>
      </c>
      <c r="V213" s="516" t="s">
        <v>657</v>
      </c>
      <c r="W213" s="517" t="s">
        <v>657</v>
      </c>
      <c r="X213" s="527" t="s">
        <v>657</v>
      </c>
    </row>
    <row r="214" spans="1:24" x14ac:dyDescent="0.2">
      <c r="A214" s="522">
        <f t="shared" si="2"/>
        <v>-168</v>
      </c>
      <c r="B214" s="833" t="s">
        <v>657</v>
      </c>
      <c r="C214" s="524"/>
      <c r="D214" s="841" t="s">
        <v>657</v>
      </c>
      <c r="E214" s="839" t="s">
        <v>657</v>
      </c>
      <c r="F214" s="839" t="s">
        <v>657</v>
      </c>
      <c r="G214" s="836" t="s">
        <v>657</v>
      </c>
      <c r="H214" s="837" t="s">
        <v>657</v>
      </c>
      <c r="I214" s="872"/>
      <c r="J214" s="840" t="s">
        <v>657</v>
      </c>
      <c r="K214" s="525"/>
      <c r="L214" s="520" t="s">
        <v>657</v>
      </c>
      <c r="M214" s="526" t="s">
        <v>657</v>
      </c>
      <c r="N214" s="526" t="s">
        <v>657</v>
      </c>
      <c r="O214" s="516" t="s">
        <v>657</v>
      </c>
      <c r="P214" s="517" t="s">
        <v>657</v>
      </c>
      <c r="Q214" s="527" t="s">
        <v>657</v>
      </c>
      <c r="R214" s="525"/>
      <c r="S214" s="520" t="s">
        <v>657</v>
      </c>
      <c r="T214" s="526" t="s">
        <v>657</v>
      </c>
      <c r="U214" s="526" t="s">
        <v>657</v>
      </c>
      <c r="V214" s="516" t="s">
        <v>657</v>
      </c>
      <c r="W214" s="517" t="s">
        <v>657</v>
      </c>
      <c r="X214" s="527" t="s">
        <v>657</v>
      </c>
    </row>
    <row r="215" spans="1:24" x14ac:dyDescent="0.2">
      <c r="A215" s="522">
        <f t="shared" si="2"/>
        <v>-169</v>
      </c>
      <c r="B215" s="833" t="s">
        <v>657</v>
      </c>
      <c r="C215" s="524"/>
      <c r="D215" s="841" t="s">
        <v>657</v>
      </c>
      <c r="E215" s="839" t="s">
        <v>657</v>
      </c>
      <c r="F215" s="839" t="s">
        <v>657</v>
      </c>
      <c r="G215" s="836" t="s">
        <v>657</v>
      </c>
      <c r="H215" s="837" t="s">
        <v>657</v>
      </c>
      <c r="I215" s="872"/>
      <c r="J215" s="840" t="s">
        <v>657</v>
      </c>
      <c r="K215" s="525"/>
      <c r="L215" s="520" t="s">
        <v>657</v>
      </c>
      <c r="M215" s="526" t="s">
        <v>657</v>
      </c>
      <c r="N215" s="526" t="s">
        <v>657</v>
      </c>
      <c r="O215" s="516" t="s">
        <v>657</v>
      </c>
      <c r="P215" s="517" t="s">
        <v>657</v>
      </c>
      <c r="Q215" s="527" t="s">
        <v>657</v>
      </c>
      <c r="R215" s="525"/>
      <c r="S215" s="520" t="s">
        <v>657</v>
      </c>
      <c r="T215" s="526" t="s">
        <v>657</v>
      </c>
      <c r="U215" s="526" t="s">
        <v>657</v>
      </c>
      <c r="V215" s="516" t="s">
        <v>657</v>
      </c>
      <c r="W215" s="517" t="s">
        <v>657</v>
      </c>
      <c r="X215" s="527" t="s">
        <v>657</v>
      </c>
    </row>
    <row r="216" spans="1:24" x14ac:dyDescent="0.2">
      <c r="A216" s="522">
        <f t="shared" si="2"/>
        <v>-170</v>
      </c>
      <c r="B216" s="833" t="s">
        <v>657</v>
      </c>
      <c r="C216" s="524"/>
      <c r="D216" s="841" t="s">
        <v>657</v>
      </c>
      <c r="E216" s="839" t="s">
        <v>657</v>
      </c>
      <c r="F216" s="839" t="s">
        <v>657</v>
      </c>
      <c r="G216" s="836" t="s">
        <v>657</v>
      </c>
      <c r="H216" s="837" t="s">
        <v>657</v>
      </c>
      <c r="I216" s="872"/>
      <c r="J216" s="840" t="s">
        <v>657</v>
      </c>
      <c r="K216" s="525"/>
      <c r="L216" s="520" t="s">
        <v>657</v>
      </c>
      <c r="M216" s="526" t="s">
        <v>657</v>
      </c>
      <c r="N216" s="526" t="s">
        <v>657</v>
      </c>
      <c r="O216" s="516" t="s">
        <v>657</v>
      </c>
      <c r="P216" s="517" t="s">
        <v>657</v>
      </c>
      <c r="Q216" s="527" t="s">
        <v>657</v>
      </c>
      <c r="R216" s="525"/>
      <c r="S216" s="520" t="s">
        <v>657</v>
      </c>
      <c r="T216" s="526" t="s">
        <v>657</v>
      </c>
      <c r="U216" s="526" t="s">
        <v>657</v>
      </c>
      <c r="V216" s="516" t="s">
        <v>657</v>
      </c>
      <c r="W216" s="517" t="s">
        <v>657</v>
      </c>
      <c r="X216" s="527" t="s">
        <v>657</v>
      </c>
    </row>
    <row r="217" spans="1:24" x14ac:dyDescent="0.2">
      <c r="A217" s="522">
        <f t="shared" si="2"/>
        <v>-171</v>
      </c>
      <c r="B217" s="512" t="s">
        <v>657</v>
      </c>
      <c r="C217" s="524"/>
      <c r="D217" s="841" t="s">
        <v>657</v>
      </c>
      <c r="E217" s="839" t="s">
        <v>657</v>
      </c>
      <c r="F217" s="839" t="s">
        <v>657</v>
      </c>
      <c r="G217" s="836" t="s">
        <v>657</v>
      </c>
      <c r="H217" s="837" t="s">
        <v>657</v>
      </c>
      <c r="I217" s="872"/>
      <c r="J217" s="840" t="s">
        <v>657</v>
      </c>
      <c r="K217" s="525"/>
      <c r="L217" s="520" t="s">
        <v>657</v>
      </c>
      <c r="M217" s="526" t="s">
        <v>657</v>
      </c>
      <c r="N217" s="526" t="s">
        <v>657</v>
      </c>
      <c r="O217" s="516" t="s">
        <v>657</v>
      </c>
      <c r="P217" s="517" t="s">
        <v>657</v>
      </c>
      <c r="Q217" s="527" t="s">
        <v>657</v>
      </c>
      <c r="R217" s="525"/>
      <c r="S217" s="520" t="s">
        <v>657</v>
      </c>
      <c r="T217" s="526" t="s">
        <v>657</v>
      </c>
      <c r="U217" s="526" t="s">
        <v>657</v>
      </c>
      <c r="V217" s="516" t="s">
        <v>657</v>
      </c>
      <c r="W217" s="517" t="s">
        <v>657</v>
      </c>
      <c r="X217" s="527" t="s">
        <v>657</v>
      </c>
    </row>
    <row r="218" spans="1:24" x14ac:dyDescent="0.2">
      <c r="A218" s="522">
        <f t="shared" si="2"/>
        <v>-172</v>
      </c>
      <c r="B218" s="512" t="s">
        <v>657</v>
      </c>
      <c r="C218" s="524"/>
      <c r="D218" s="841" t="s">
        <v>657</v>
      </c>
      <c r="E218" s="839" t="s">
        <v>657</v>
      </c>
      <c r="F218" s="839" t="s">
        <v>657</v>
      </c>
      <c r="G218" s="836" t="s">
        <v>657</v>
      </c>
      <c r="H218" s="837" t="s">
        <v>657</v>
      </c>
      <c r="I218" s="872"/>
      <c r="J218" s="840" t="s">
        <v>657</v>
      </c>
      <c r="K218" s="525"/>
      <c r="L218" s="520" t="s">
        <v>657</v>
      </c>
      <c r="M218" s="526" t="s">
        <v>657</v>
      </c>
      <c r="N218" s="526" t="s">
        <v>657</v>
      </c>
      <c r="O218" s="516" t="s">
        <v>657</v>
      </c>
      <c r="P218" s="517" t="s">
        <v>657</v>
      </c>
      <c r="Q218" s="527" t="s">
        <v>657</v>
      </c>
      <c r="R218" s="525"/>
      <c r="S218" s="520" t="s">
        <v>657</v>
      </c>
      <c r="T218" s="526" t="s">
        <v>657</v>
      </c>
      <c r="U218" s="526" t="s">
        <v>657</v>
      </c>
      <c r="V218" s="516" t="s">
        <v>657</v>
      </c>
      <c r="W218" s="517" t="s">
        <v>657</v>
      </c>
      <c r="X218" s="527" t="s">
        <v>657</v>
      </c>
    </row>
    <row r="219" spans="1:24" x14ac:dyDescent="0.2">
      <c r="A219" s="522">
        <f t="shared" ref="A219:A220" si="3">A218-1</f>
        <v>-173</v>
      </c>
      <c r="B219" s="512" t="s">
        <v>657</v>
      </c>
      <c r="C219" s="524"/>
      <c r="D219" s="841" t="s">
        <v>657</v>
      </c>
      <c r="E219" s="839" t="s">
        <v>657</v>
      </c>
      <c r="F219" s="839" t="s">
        <v>657</v>
      </c>
      <c r="G219" s="836" t="s">
        <v>657</v>
      </c>
      <c r="H219" s="837" t="s">
        <v>657</v>
      </c>
      <c r="I219" s="872"/>
      <c r="J219" s="840" t="s">
        <v>657</v>
      </c>
      <c r="K219" s="525"/>
      <c r="L219" s="520" t="s">
        <v>657</v>
      </c>
      <c r="M219" s="526" t="s">
        <v>657</v>
      </c>
      <c r="N219" s="526" t="s">
        <v>657</v>
      </c>
      <c r="O219" s="516" t="s">
        <v>657</v>
      </c>
      <c r="P219" s="517" t="s">
        <v>657</v>
      </c>
      <c r="Q219" s="527" t="s">
        <v>657</v>
      </c>
      <c r="R219" s="525"/>
      <c r="S219" s="520" t="s">
        <v>657</v>
      </c>
      <c r="T219" s="526" t="s">
        <v>657</v>
      </c>
      <c r="U219" s="526" t="s">
        <v>657</v>
      </c>
      <c r="V219" s="516" t="s">
        <v>657</v>
      </c>
      <c r="W219" s="517" t="s">
        <v>657</v>
      </c>
      <c r="X219" s="527" t="s">
        <v>657</v>
      </c>
    </row>
    <row r="220" spans="1:24" x14ac:dyDescent="0.2">
      <c r="A220" s="522">
        <f t="shared" si="3"/>
        <v>-174</v>
      </c>
      <c r="B220" s="529" t="s">
        <v>657</v>
      </c>
      <c r="C220" s="524"/>
      <c r="D220" s="842" t="s">
        <v>657</v>
      </c>
      <c r="E220" s="843" t="s">
        <v>657</v>
      </c>
      <c r="F220" s="843" t="s">
        <v>657</v>
      </c>
      <c r="G220" s="844" t="s">
        <v>657</v>
      </c>
      <c r="H220" s="845" t="s">
        <v>657</v>
      </c>
      <c r="I220" s="873"/>
      <c r="J220" s="846" t="s">
        <v>657</v>
      </c>
      <c r="K220" s="525"/>
      <c r="L220" s="530" t="s">
        <v>657</v>
      </c>
      <c r="M220" s="531" t="s">
        <v>657</v>
      </c>
      <c r="N220" s="531" t="s">
        <v>657</v>
      </c>
      <c r="O220" s="532" t="s">
        <v>657</v>
      </c>
      <c r="P220" s="533" t="s">
        <v>657</v>
      </c>
      <c r="Q220" s="534" t="s">
        <v>657</v>
      </c>
      <c r="R220" s="525"/>
      <c r="S220" s="530" t="s">
        <v>657</v>
      </c>
      <c r="T220" s="531" t="s">
        <v>657</v>
      </c>
      <c r="U220" s="531" t="s">
        <v>657</v>
      </c>
      <c r="V220" s="532" t="s">
        <v>657</v>
      </c>
      <c r="W220" s="533" t="s">
        <v>657</v>
      </c>
      <c r="X220" s="534" t="s">
        <v>657</v>
      </c>
    </row>
  </sheetData>
  <mergeCells count="25">
    <mergeCell ref="D18:D19"/>
    <mergeCell ref="B10:X10"/>
    <mergeCell ref="S21:X21"/>
    <mergeCell ref="S22:S23"/>
    <mergeCell ref="T22:T23"/>
    <mergeCell ref="U22:U23"/>
    <mergeCell ref="V22:V23"/>
    <mergeCell ref="W22:W23"/>
    <mergeCell ref="X22:X23"/>
    <mergeCell ref="B21:B23"/>
    <mergeCell ref="D21:J21"/>
    <mergeCell ref="L21:Q21"/>
    <mergeCell ref="D22:D23"/>
    <mergeCell ref="E22:E23"/>
    <mergeCell ref="F22:F23"/>
    <mergeCell ref="G22:G23"/>
    <mergeCell ref="P22:P23"/>
    <mergeCell ref="Q22:Q23"/>
    <mergeCell ref="H22:H23"/>
    <mergeCell ref="J22:J23"/>
    <mergeCell ref="L22:L23"/>
    <mergeCell ref="M22:M23"/>
    <mergeCell ref="N22:N23"/>
    <mergeCell ref="O22:O23"/>
    <mergeCell ref="I22:I23"/>
  </mergeCells>
  <conditionalFormatting sqref="B25:B220">
    <cfRule type="cellIs" dxfId="45"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BB24-21DE-4197-A987-64BF0857163F}">
  <sheetPr>
    <tabColor theme="0" tint="-0.249977111117893"/>
  </sheetPr>
  <dimension ref="B3:BH34"/>
  <sheetViews>
    <sheetView showGridLines="0" view="pageBreakPreview" zoomScale="85" zoomScaleNormal="80" zoomScaleSheetLayoutView="85" workbookViewId="0">
      <selection activeCell="K46" sqref="K46"/>
    </sheetView>
  </sheetViews>
  <sheetFormatPr defaultColWidth="21.42578125" defaultRowHeight="12.75" x14ac:dyDescent="0.2"/>
  <cols>
    <col min="1" max="1" width="6.140625" style="416" customWidth="1"/>
    <col min="2" max="2" width="25.85546875" style="416" customWidth="1"/>
    <col min="3" max="3" width="28.140625" style="416" customWidth="1"/>
    <col min="4" max="4" width="25" style="416" customWidth="1"/>
    <col min="5" max="5" width="18.85546875" style="416" customWidth="1"/>
    <col min="6" max="6" width="21.5703125" style="416" bestFit="1" customWidth="1"/>
    <col min="7" max="7" width="15.42578125" style="416" customWidth="1"/>
    <col min="8" max="8" width="25" style="416" bestFit="1" customWidth="1"/>
    <col min="9" max="9" width="19" style="416" customWidth="1"/>
    <col min="10" max="10" width="7.42578125" style="416" customWidth="1"/>
    <col min="11" max="16384" width="21.42578125" style="416"/>
  </cols>
  <sheetData>
    <row r="3" spans="2:9" ht="15" customHeight="1" x14ac:dyDescent="0.2">
      <c r="B3" s="106"/>
      <c r="C3" s="106"/>
      <c r="D3" s="106"/>
      <c r="E3" s="106"/>
      <c r="F3" s="106"/>
      <c r="G3" s="106"/>
    </row>
    <row r="4" spans="2:9" ht="15" customHeight="1" x14ac:dyDescent="0.2">
      <c r="B4" s="106"/>
      <c r="C4" s="106"/>
      <c r="D4" s="646"/>
      <c r="H4" s="101" t="s">
        <v>655</v>
      </c>
      <c r="I4" s="101">
        <f>'00 - Cover'!F15</f>
        <v>45580</v>
      </c>
    </row>
    <row r="5" spans="2:9" ht="15" customHeight="1" x14ac:dyDescent="0.2">
      <c r="B5" s="106"/>
      <c r="C5" s="106"/>
      <c r="D5" s="646"/>
      <c r="H5" s="101" t="s">
        <v>94</v>
      </c>
      <c r="I5" s="101">
        <f>'00 - Cover'!F16</f>
        <v>45583</v>
      </c>
    </row>
    <row r="6" spans="2:9" ht="12.75" customHeight="1" x14ac:dyDescent="0.2">
      <c r="B6" s="106"/>
      <c r="C6" s="106"/>
      <c r="D6" s="646"/>
      <c r="H6" s="101" t="s">
        <v>87</v>
      </c>
      <c r="I6" s="101">
        <f>'00 - Cover'!F17</f>
        <v>45590</v>
      </c>
    </row>
    <row r="7" spans="2:9" x14ac:dyDescent="0.2">
      <c r="B7" s="106"/>
      <c r="C7" s="106"/>
      <c r="D7" s="106"/>
      <c r="E7" s="106"/>
      <c r="F7" s="106"/>
      <c r="G7" s="106"/>
      <c r="H7" s="144"/>
      <c r="I7" s="144"/>
    </row>
    <row r="10" spans="2:9" ht="15.75" x14ac:dyDescent="0.25">
      <c r="B10" s="1161" t="s">
        <v>739</v>
      </c>
      <c r="C10" s="1162"/>
      <c r="D10" s="1162"/>
      <c r="E10" s="1162"/>
      <c r="F10" s="1162"/>
      <c r="G10" s="1162"/>
      <c r="H10" s="1162"/>
      <c r="I10" s="1162"/>
    </row>
    <row r="11" spans="2:9" x14ac:dyDescent="0.2">
      <c r="B11" s="655"/>
      <c r="C11" s="656"/>
      <c r="D11" s="657"/>
      <c r="E11" s="657"/>
      <c r="F11" s="657"/>
      <c r="G11" s="658"/>
      <c r="H11" s="658"/>
      <c r="I11" s="658"/>
    </row>
    <row r="12" spans="2:9" x14ac:dyDescent="0.2">
      <c r="B12" s="655"/>
      <c r="C12" s="656"/>
      <c r="D12" s="657"/>
      <c r="E12" s="657"/>
      <c r="F12" s="657"/>
      <c r="G12" s="658"/>
      <c r="H12" s="1163"/>
      <c r="I12" s="658"/>
    </row>
    <row r="13" spans="2:9" x14ac:dyDescent="0.2">
      <c r="B13" s="655"/>
      <c r="C13" s="656"/>
      <c r="D13" s="657"/>
      <c r="E13" s="657"/>
      <c r="F13" s="657"/>
      <c r="G13" s="658"/>
      <c r="H13" s="1164"/>
      <c r="I13" s="658"/>
    </row>
    <row r="14" spans="2:9" ht="15.75" x14ac:dyDescent="0.2">
      <c r="B14" s="671" t="s">
        <v>683</v>
      </c>
      <c r="C14" s="672"/>
      <c r="D14" s="672"/>
      <c r="E14" s="673"/>
      <c r="F14" s="674"/>
      <c r="G14" s="675"/>
      <c r="H14" s="676"/>
      <c r="I14" s="813" t="s">
        <v>1395</v>
      </c>
    </row>
    <row r="15" spans="2:9" x14ac:dyDescent="0.2">
      <c r="B15" s="1165" t="s">
        <v>733</v>
      </c>
      <c r="C15" s="1165" t="s">
        <v>734</v>
      </c>
      <c r="D15" s="1166" t="s">
        <v>735</v>
      </c>
      <c r="E15" s="1166"/>
      <c r="F15" s="1166"/>
      <c r="G15" s="1166" t="s">
        <v>740</v>
      </c>
      <c r="H15" s="1165" t="s">
        <v>736</v>
      </c>
      <c r="I15" s="1165" t="s">
        <v>820</v>
      </c>
    </row>
    <row r="16" spans="2:9" ht="20.25" customHeight="1" x14ac:dyDescent="0.2">
      <c r="B16" s="1165"/>
      <c r="C16" s="1165"/>
      <c r="D16" s="851" t="s">
        <v>737</v>
      </c>
      <c r="E16" s="851" t="s">
        <v>738</v>
      </c>
      <c r="F16" s="851" t="s">
        <v>172</v>
      </c>
      <c r="G16" s="1167"/>
      <c r="H16" s="1165"/>
      <c r="I16" s="1165"/>
    </row>
    <row r="17" spans="2:60" x14ac:dyDescent="0.2">
      <c r="B17" s="659">
        <v>6835</v>
      </c>
      <c r="C17" s="660">
        <f>'11 - Notes Follow-up'!J25</f>
        <v>92729.155973664965</v>
      </c>
      <c r="D17" s="814">
        <f>'00 - Cover'!F18</f>
        <v>45498</v>
      </c>
      <c r="E17" s="814">
        <f>'00 - Cover'!F17</f>
        <v>45590</v>
      </c>
      <c r="F17" s="661">
        <f>IFERROR(E17-D17,"N/A")</f>
        <v>92</v>
      </c>
      <c r="G17" s="662">
        <v>2.5000000000000001E-3</v>
      </c>
      <c r="H17" s="660">
        <f>ROUNDDOWN(C17*G17*F17/360,2)</f>
        <v>59.24</v>
      </c>
      <c r="I17" s="663">
        <f>H17*B17</f>
        <v>404905.4</v>
      </c>
      <c r="K17" s="664"/>
      <c r="L17" s="664"/>
      <c r="M17" s="664"/>
      <c r="N17" s="664"/>
      <c r="O17" s="664"/>
      <c r="P17" s="664"/>
      <c r="Q17" s="664"/>
      <c r="R17" s="664"/>
      <c r="S17" s="664"/>
      <c r="T17" s="664"/>
      <c r="U17" s="664"/>
      <c r="V17" s="664"/>
      <c r="W17" s="664"/>
      <c r="X17" s="664"/>
      <c r="Y17" s="664"/>
      <c r="Z17" s="664"/>
      <c r="AA17" s="664"/>
      <c r="AB17" s="664"/>
      <c r="AC17" s="664"/>
      <c r="AD17" s="664"/>
      <c r="AE17" s="664"/>
      <c r="AF17" s="664"/>
      <c r="AG17" s="664"/>
      <c r="AH17" s="664"/>
      <c r="AI17" s="664"/>
      <c r="AJ17" s="664"/>
      <c r="AK17" s="664"/>
      <c r="AL17" s="664"/>
      <c r="AM17" s="664"/>
      <c r="AN17" s="664"/>
      <c r="AO17" s="664"/>
      <c r="AP17" s="664"/>
      <c r="AQ17" s="664"/>
      <c r="AR17" s="664"/>
      <c r="AS17" s="664"/>
      <c r="AT17" s="664"/>
      <c r="AU17" s="664"/>
      <c r="AV17" s="664"/>
      <c r="AW17" s="664"/>
      <c r="AX17" s="664"/>
      <c r="AY17" s="664"/>
      <c r="AZ17" s="664"/>
      <c r="BA17" s="664"/>
      <c r="BB17" s="664"/>
      <c r="BC17" s="664"/>
      <c r="BD17" s="664"/>
      <c r="BE17" s="664"/>
      <c r="BF17" s="664"/>
      <c r="BG17" s="664"/>
      <c r="BH17" s="664"/>
    </row>
    <row r="18" spans="2:60" x14ac:dyDescent="0.2">
      <c r="B18" s="658"/>
      <c r="C18" s="665"/>
      <c r="D18" s="658"/>
      <c r="E18" s="658"/>
      <c r="F18" s="658"/>
      <c r="G18" s="658"/>
      <c r="H18" s="658"/>
      <c r="I18" s="875"/>
    </row>
    <row r="19" spans="2:60" x14ac:dyDescent="0.2">
      <c r="B19" s="658"/>
      <c r="C19" s="665"/>
      <c r="D19" s="658"/>
      <c r="E19" s="658"/>
      <c r="F19" s="658"/>
      <c r="G19" s="658"/>
      <c r="H19" s="658"/>
      <c r="I19" s="658"/>
    </row>
    <row r="20" spans="2:60" ht="15.75" x14ac:dyDescent="0.2">
      <c r="B20" s="671" t="s">
        <v>703</v>
      </c>
      <c r="C20" s="672"/>
      <c r="D20" s="672"/>
      <c r="E20" s="673"/>
      <c r="F20" s="674"/>
      <c r="G20" s="675"/>
      <c r="H20" s="676"/>
      <c r="I20" s="813" t="s">
        <v>1395</v>
      </c>
    </row>
    <row r="21" spans="2:60" ht="14.25" customHeight="1" x14ac:dyDescent="0.2">
      <c r="B21" s="1158" t="s">
        <v>733</v>
      </c>
      <c r="C21" s="1158" t="s">
        <v>734</v>
      </c>
      <c r="D21" s="1159" t="s">
        <v>735</v>
      </c>
      <c r="E21" s="1159"/>
      <c r="F21" s="1159"/>
      <c r="G21" s="1159" t="s">
        <v>740</v>
      </c>
      <c r="H21" s="1158" t="s">
        <v>736</v>
      </c>
      <c r="I21" s="1158" t="s">
        <v>821</v>
      </c>
    </row>
    <row r="22" spans="2:60" ht="14.25" customHeight="1" x14ac:dyDescent="0.2">
      <c r="B22" s="1158"/>
      <c r="C22" s="1158"/>
      <c r="D22" s="848" t="s">
        <v>737</v>
      </c>
      <c r="E22" s="848" t="s">
        <v>738</v>
      </c>
      <c r="F22" s="848" t="s">
        <v>172</v>
      </c>
      <c r="G22" s="1160"/>
      <c r="H22" s="1158"/>
      <c r="I22" s="1158"/>
    </row>
    <row r="23" spans="2:60" x14ac:dyDescent="0.2">
      <c r="B23" s="659">
        <v>67585</v>
      </c>
      <c r="C23" s="660">
        <f>'11 - Notes Follow-up'!Q25</f>
        <v>1000</v>
      </c>
      <c r="D23" s="814">
        <f>D17</f>
        <v>45498</v>
      </c>
      <c r="E23" s="814">
        <f>'00 - Cover'!F17</f>
        <v>45590</v>
      </c>
      <c r="F23" s="661">
        <f>IFERROR(E23-D23,"N/A")</f>
        <v>92</v>
      </c>
      <c r="G23" s="662">
        <v>0</v>
      </c>
      <c r="H23" s="660">
        <f>ROUNDDOWN(C23*G23*F23/360,2)</f>
        <v>0</v>
      </c>
      <c r="I23" s="663">
        <f>H23*B23</f>
        <v>0</v>
      </c>
    </row>
    <row r="24" spans="2:60" x14ac:dyDescent="0.2">
      <c r="B24" s="666"/>
      <c r="C24" s="667"/>
      <c r="D24" s="668"/>
      <c r="E24" s="668"/>
      <c r="F24" s="669"/>
      <c r="G24" s="670"/>
    </row>
    <row r="32" spans="2:60" x14ac:dyDescent="0.2">
      <c r="C32" s="554"/>
      <c r="E32" s="876"/>
    </row>
    <row r="34" spans="4:5" x14ac:dyDescent="0.2">
      <c r="D34" s="874"/>
      <c r="E34" s="874"/>
    </row>
  </sheetData>
  <mergeCells count="14">
    <mergeCell ref="B10:I10"/>
    <mergeCell ref="H12:H13"/>
    <mergeCell ref="B15:B16"/>
    <mergeCell ref="C15:C16"/>
    <mergeCell ref="D15:F15"/>
    <mergeCell ref="G15:G16"/>
    <mergeCell ref="H15:H16"/>
    <mergeCell ref="I15:I16"/>
    <mergeCell ref="I21:I22"/>
    <mergeCell ref="B21:B22"/>
    <mergeCell ref="C21:C22"/>
    <mergeCell ref="D21:F21"/>
    <mergeCell ref="G21:G22"/>
    <mergeCell ref="H21:H22"/>
  </mergeCells>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E9-F36F-4CDE-B816-B45FA4EF60C8}">
  <sheetPr>
    <tabColor theme="0" tint="-0.249977111117893"/>
  </sheetPr>
  <dimension ref="B2:Y65"/>
  <sheetViews>
    <sheetView showGridLines="0" topLeftCell="D46" zoomScaleNormal="100" workbookViewId="0">
      <selection activeCell="H59" sqref="H59"/>
    </sheetView>
  </sheetViews>
  <sheetFormatPr defaultColWidth="9.140625" defaultRowHeight="12.75" x14ac:dyDescent="0.2"/>
  <cols>
    <col min="1" max="1" width="9.140625" style="416"/>
    <col min="2" max="2" width="1.85546875" style="416" customWidth="1"/>
    <col min="3" max="3" width="5.85546875" style="416" customWidth="1"/>
    <col min="4" max="4" width="9.140625" style="416"/>
    <col min="5" max="5" width="32.5703125" style="416" customWidth="1"/>
    <col min="6" max="6" width="54.42578125" style="416" customWidth="1"/>
    <col min="7" max="7" width="42.140625" style="416" customWidth="1"/>
    <col min="8" max="8" width="16.5703125" style="416" bestFit="1" customWidth="1"/>
    <col min="9" max="9" width="18.42578125" style="416" customWidth="1"/>
    <col min="10" max="10" width="12.5703125" style="416" bestFit="1" customWidth="1"/>
    <col min="11" max="11" width="34.5703125" style="416" customWidth="1"/>
    <col min="12" max="13" width="16.5703125" style="416" bestFit="1" customWidth="1"/>
    <col min="14" max="14" width="25.85546875" style="416" customWidth="1"/>
    <col min="15" max="15" width="19.5703125" style="416" bestFit="1" customWidth="1"/>
    <col min="16" max="16" width="8.5703125" style="416" bestFit="1" customWidth="1"/>
    <col min="17" max="17" width="22.7109375" style="416" bestFit="1" customWidth="1"/>
    <col min="18" max="18" width="27.7109375" style="416" bestFit="1" customWidth="1"/>
    <col min="19" max="19" width="10.7109375" style="416" bestFit="1" customWidth="1"/>
    <col min="20" max="20" width="10.140625" style="416" bestFit="1" customWidth="1"/>
    <col min="21" max="21" width="5.5703125" style="416" bestFit="1" customWidth="1"/>
    <col min="22" max="22" width="15.7109375" style="416" bestFit="1" customWidth="1"/>
    <col min="23" max="23" width="9" style="416" bestFit="1" customWidth="1"/>
    <col min="24" max="24" width="7" style="416" bestFit="1" customWidth="1"/>
    <col min="25" max="25" width="22.85546875" style="416" bestFit="1" customWidth="1"/>
    <col min="26" max="16384" width="9.140625" style="416"/>
  </cols>
  <sheetData>
    <row r="2" spans="2:25" x14ac:dyDescent="0.2">
      <c r="H2" s="144"/>
      <c r="I2" s="812" t="s">
        <v>655</v>
      </c>
      <c r="J2" s="812">
        <v>45397</v>
      </c>
    </row>
    <row r="3" spans="2:25" x14ac:dyDescent="0.2">
      <c r="H3" s="144"/>
      <c r="I3" s="812" t="s">
        <v>94</v>
      </c>
      <c r="J3" s="812">
        <v>45401</v>
      </c>
    </row>
    <row r="4" spans="2:25" x14ac:dyDescent="0.2">
      <c r="H4" s="144"/>
      <c r="I4" s="812" t="s">
        <v>87</v>
      </c>
      <c r="J4" s="812">
        <v>45407</v>
      </c>
    </row>
    <row r="5" spans="2:25" x14ac:dyDescent="0.2">
      <c r="H5" s="144"/>
      <c r="I5" s="679"/>
    </row>
    <row r="7" spans="2:25" ht="15.75" x14ac:dyDescent="0.25">
      <c r="B7" s="624"/>
      <c r="C7" s="625" t="s">
        <v>721</v>
      </c>
      <c r="D7" s="625"/>
      <c r="E7" s="625"/>
      <c r="F7" s="625"/>
      <c r="G7" s="625"/>
      <c r="H7" s="625"/>
      <c r="I7" s="625"/>
      <c r="J7" s="625"/>
      <c r="K7" s="625"/>
    </row>
    <row r="10" spans="2:25" ht="15.75" x14ac:dyDescent="0.25">
      <c r="B10" s="537"/>
      <c r="C10" s="1181" t="s">
        <v>1605</v>
      </c>
      <c r="D10" s="1181"/>
      <c r="E10" s="1181"/>
      <c r="F10" s="1181"/>
      <c r="G10" s="1181"/>
      <c r="H10" s="538"/>
      <c r="I10" s="538"/>
      <c r="J10" s="539"/>
      <c r="K10" s="540"/>
    </row>
    <row r="11" spans="2:25" ht="15" x14ac:dyDescent="0.25">
      <c r="B11" s="541"/>
      <c r="C11" s="1182"/>
      <c r="D11" s="1182"/>
      <c r="E11" s="1182"/>
      <c r="F11" s="1182"/>
      <c r="G11" s="1182"/>
      <c r="H11" s="644" t="s">
        <v>8</v>
      </c>
      <c r="I11" s="542" t="s">
        <v>236</v>
      </c>
      <c r="J11" s="543"/>
      <c r="K11" s="540"/>
    </row>
    <row r="12" spans="2:25" ht="15" x14ac:dyDescent="0.25">
      <c r="B12" s="544"/>
      <c r="C12" s="545"/>
      <c r="D12" s="1183" t="s">
        <v>706</v>
      </c>
      <c r="E12" s="1184"/>
      <c r="F12" s="1184"/>
      <c r="G12" s="1185"/>
      <c r="H12" s="546"/>
      <c r="I12" s="376">
        <v>0</v>
      </c>
      <c r="J12" s="543"/>
      <c r="K12" s="540"/>
      <c r="L12" s="548"/>
    </row>
    <row r="13" spans="2:25" ht="30" customHeight="1" thickBot="1" x14ac:dyDescent="0.3">
      <c r="B13" s="544"/>
      <c r="C13" s="545"/>
      <c r="D13" s="549" t="s">
        <v>9</v>
      </c>
      <c r="E13" s="1178" t="s">
        <v>1396</v>
      </c>
      <c r="F13" s="1179"/>
      <c r="G13" s="1180"/>
      <c r="H13" s="550">
        <v>0</v>
      </c>
      <c r="I13" s="551">
        <f>I12+H13</f>
        <v>0</v>
      </c>
      <c r="J13" s="543"/>
      <c r="K13" s="540"/>
      <c r="L13" s="548"/>
      <c r="M13" s="548"/>
    </row>
    <row r="14" spans="2:25" ht="35.1" customHeight="1" thickBot="1" x14ac:dyDescent="0.3">
      <c r="B14" s="544"/>
      <c r="C14" s="545"/>
      <c r="D14" s="1176" t="s">
        <v>9</v>
      </c>
      <c r="E14" s="1172" t="s">
        <v>1397</v>
      </c>
      <c r="F14" s="1173"/>
      <c r="G14" s="918">
        <f>'04 - Monthly Collection'!AS13+'04 - Monthly Collection'!AS14+'04 - Monthly Collection'!AS15</f>
        <v>20875749.639999993</v>
      </c>
      <c r="H14" s="1174">
        <f>+G14+G15</f>
        <v>20971609.559999995</v>
      </c>
      <c r="I14" s="1170">
        <f>I13+H14+H15</f>
        <v>20971609.559999995</v>
      </c>
      <c r="J14" s="547"/>
      <c r="K14" s="906"/>
      <c r="L14" s="1168" t="s">
        <v>1511</v>
      </c>
      <c r="M14" s="1168" t="s">
        <v>1499</v>
      </c>
    </row>
    <row r="15" spans="2:25" ht="35.1" customHeight="1" thickBot="1" x14ac:dyDescent="0.3">
      <c r="B15" s="544"/>
      <c r="C15" s="545"/>
      <c r="D15" s="1177"/>
      <c r="E15" s="903" t="s">
        <v>1501</v>
      </c>
      <c r="F15" s="904"/>
      <c r="G15" s="914">
        <f>+L17</f>
        <v>95859.92</v>
      </c>
      <c r="H15" s="1175"/>
      <c r="I15" s="1171"/>
      <c r="J15" s="547"/>
      <c r="K15" s="906"/>
      <c r="L15" s="1169"/>
      <c r="M15" s="1169"/>
      <c r="P15" s="997" t="s">
        <v>1582</v>
      </c>
      <c r="Q15" s="997" t="s">
        <v>27</v>
      </c>
      <c r="R15" s="997" t="s">
        <v>2525</v>
      </c>
      <c r="S15" s="997" t="s">
        <v>2526</v>
      </c>
      <c r="T15" s="997" t="s">
        <v>2527</v>
      </c>
      <c r="U15" s="997" t="s">
        <v>2528</v>
      </c>
      <c r="V15" s="997" t="s">
        <v>2529</v>
      </c>
      <c r="W15" s="997" t="s">
        <v>1580</v>
      </c>
      <c r="X15" s="997" t="s">
        <v>1561</v>
      </c>
      <c r="Y15" s="997" t="s">
        <v>2530</v>
      </c>
    </row>
    <row r="16" spans="2:25" ht="26.1" customHeight="1" thickBot="1" x14ac:dyDescent="0.25">
      <c r="B16" s="544"/>
      <c r="C16" s="545"/>
      <c r="D16" s="549" t="s">
        <v>9</v>
      </c>
      <c r="E16" s="1178" t="s">
        <v>1398</v>
      </c>
      <c r="F16" s="1179"/>
      <c r="G16" s="1180"/>
      <c r="H16" s="550">
        <v>0</v>
      </c>
      <c r="I16" s="551">
        <f>I14+H16</f>
        <v>20971609.559999995</v>
      </c>
      <c r="J16" s="547"/>
      <c r="K16" s="554"/>
      <c r="L16" s="1169"/>
      <c r="M16" s="1169"/>
      <c r="P16" s="998" t="s">
        <v>1554</v>
      </c>
      <c r="Q16" s="998" t="s">
        <v>1589</v>
      </c>
      <c r="R16" s="998" t="s">
        <v>1585</v>
      </c>
      <c r="S16" s="1044">
        <v>45506</v>
      </c>
      <c r="T16" s="998"/>
      <c r="U16" s="998" t="s">
        <v>2531</v>
      </c>
      <c r="V16" s="998" t="s">
        <v>2532</v>
      </c>
      <c r="W16" s="1042">
        <v>40065.68</v>
      </c>
      <c r="X16" s="998" t="s">
        <v>687</v>
      </c>
      <c r="Y16" s="998" t="s">
        <v>2539</v>
      </c>
    </row>
    <row r="17" spans="2:25" ht="26.25" customHeight="1" thickBot="1" x14ac:dyDescent="0.3">
      <c r="B17" s="544"/>
      <c r="C17" s="545"/>
      <c r="D17" s="549" t="s">
        <v>9</v>
      </c>
      <c r="E17" s="1178" t="s">
        <v>1399</v>
      </c>
      <c r="F17" s="1179"/>
      <c r="G17" s="1180"/>
      <c r="H17" s="550">
        <v>0</v>
      </c>
      <c r="I17" s="551">
        <f t="shared" ref="I17:I20" si="0">I16+H17</f>
        <v>20971609.559999995</v>
      </c>
      <c r="J17" s="547"/>
      <c r="K17" s="908"/>
      <c r="L17" s="909">
        <f>SUM(W16:W19)</f>
        <v>95859.92</v>
      </c>
      <c r="M17" s="909">
        <f>SUM(W20:W23)</f>
        <v>69180.350000000006</v>
      </c>
      <c r="P17" s="998" t="s">
        <v>1554</v>
      </c>
      <c r="Q17" s="998" t="s">
        <v>1589</v>
      </c>
      <c r="R17" s="998" t="s">
        <v>1585</v>
      </c>
      <c r="S17" s="1044">
        <v>45538</v>
      </c>
      <c r="T17" s="998"/>
      <c r="U17" s="998" t="s">
        <v>2531</v>
      </c>
      <c r="V17" s="998" t="s">
        <v>2532</v>
      </c>
      <c r="W17" s="1042">
        <v>20762.400000000001</v>
      </c>
      <c r="X17" s="998" t="s">
        <v>687</v>
      </c>
      <c r="Y17" s="998" t="s">
        <v>2540</v>
      </c>
    </row>
    <row r="18" spans="2:25" ht="26.25" customHeight="1" x14ac:dyDescent="0.25">
      <c r="B18" s="544"/>
      <c r="C18" s="545"/>
      <c r="D18" s="549" t="s">
        <v>9</v>
      </c>
      <c r="E18" s="1178" t="s">
        <v>1400</v>
      </c>
      <c r="F18" s="1179"/>
      <c r="G18" s="1180"/>
      <c r="H18" s="550">
        <f>'03 - Monthly Asset Follow up'!M17+'03 - Monthly Asset Follow up'!AM17+'03 - Monthly Asset Follow up'!AP17+'03 - Monthly Asset Follow up'!BL17+'03 - Monthly Asset Follow up'!CL17+'03 - Monthly Asset Follow up'!CO17</f>
        <v>0</v>
      </c>
      <c r="I18" s="551">
        <f t="shared" si="0"/>
        <v>20971609.559999995</v>
      </c>
      <c r="J18" s="547"/>
      <c r="K18" s="540"/>
      <c r="M18" s="1168" t="s">
        <v>1502</v>
      </c>
      <c r="P18" s="998" t="s">
        <v>1554</v>
      </c>
      <c r="Q18" s="998" t="s">
        <v>1589</v>
      </c>
      <c r="R18" s="998" t="s">
        <v>1585</v>
      </c>
      <c r="S18" s="1044">
        <v>45566</v>
      </c>
      <c r="T18" s="998"/>
      <c r="U18" s="998" t="s">
        <v>2531</v>
      </c>
      <c r="V18" s="998" t="s">
        <v>2532</v>
      </c>
      <c r="W18" s="1042">
        <v>35031.839999999997</v>
      </c>
      <c r="X18" s="998" t="s">
        <v>687</v>
      </c>
      <c r="Y18" s="998" t="s">
        <v>2541</v>
      </c>
    </row>
    <row r="19" spans="2:25" ht="26.25" customHeight="1" thickBot="1" x14ac:dyDescent="0.3">
      <c r="B19" s="544"/>
      <c r="C19" s="545"/>
      <c r="D19" s="549" t="s">
        <v>9</v>
      </c>
      <c r="E19" s="1178" t="s">
        <v>1401</v>
      </c>
      <c r="F19" s="1179"/>
      <c r="G19" s="1180"/>
      <c r="H19" s="550">
        <f>H59</f>
        <v>9823431.8921000008</v>
      </c>
      <c r="I19" s="551">
        <f t="shared" si="0"/>
        <v>30795041.452099994</v>
      </c>
      <c r="J19" s="547"/>
      <c r="K19" s="910"/>
      <c r="M19" s="1169"/>
      <c r="P19" s="998"/>
      <c r="Q19" s="998"/>
      <c r="R19" s="998"/>
      <c r="S19" s="998"/>
      <c r="T19" s="998"/>
      <c r="U19" s="998"/>
      <c r="V19" s="998"/>
      <c r="W19" s="1042"/>
      <c r="X19" s="998"/>
      <c r="Y19" s="998"/>
    </row>
    <row r="20" spans="2:25" ht="26.45" customHeight="1" thickBot="1" x14ac:dyDescent="0.3">
      <c r="B20" s="544"/>
      <c r="C20" s="545"/>
      <c r="D20" s="549" t="s">
        <v>9</v>
      </c>
      <c r="E20" s="1178" t="s">
        <v>1402</v>
      </c>
      <c r="F20" s="1179"/>
      <c r="G20" s="1180"/>
      <c r="H20" s="550">
        <v>0</v>
      </c>
      <c r="I20" s="551">
        <f t="shared" si="0"/>
        <v>30795041.452099994</v>
      </c>
      <c r="J20" s="547"/>
      <c r="K20" s="913"/>
      <c r="M20" s="909">
        <v>300</v>
      </c>
      <c r="P20" s="999" t="s">
        <v>1554</v>
      </c>
      <c r="Q20" s="999" t="s">
        <v>1592</v>
      </c>
      <c r="R20" s="999" t="s">
        <v>1588</v>
      </c>
      <c r="S20" s="1045">
        <f>+S16</f>
        <v>45506</v>
      </c>
      <c r="T20" s="999"/>
      <c r="U20" s="999" t="s">
        <v>2531</v>
      </c>
      <c r="V20" s="999" t="s">
        <v>2532</v>
      </c>
      <c r="W20" s="1043">
        <v>23684.84</v>
      </c>
      <c r="X20" s="999" t="s">
        <v>687</v>
      </c>
      <c r="Y20" s="999" t="s">
        <v>2539</v>
      </c>
    </row>
    <row r="21" spans="2:25" ht="15" x14ac:dyDescent="0.25">
      <c r="B21" s="544"/>
      <c r="C21" s="545"/>
      <c r="D21" s="552" t="s">
        <v>18</v>
      </c>
      <c r="E21" s="1186" t="s">
        <v>1403</v>
      </c>
      <c r="F21" s="1187"/>
      <c r="G21" s="1188"/>
      <c r="H21" s="185">
        <v>0</v>
      </c>
      <c r="I21" s="551">
        <f>I20-H21</f>
        <v>30795041.452099994</v>
      </c>
      <c r="J21" s="553"/>
      <c r="K21" s="920"/>
      <c r="P21" s="999" t="s">
        <v>1554</v>
      </c>
      <c r="Q21" s="999" t="s">
        <v>1592</v>
      </c>
      <c r="R21" s="999" t="s">
        <v>1588</v>
      </c>
      <c r="S21" s="1045">
        <f>+S17</f>
        <v>45538</v>
      </c>
      <c r="T21" s="999"/>
      <c r="U21" s="999" t="s">
        <v>2531</v>
      </c>
      <c r="V21" s="999" t="s">
        <v>2532</v>
      </c>
      <c r="W21" s="1043">
        <v>23566.45</v>
      </c>
      <c r="X21" s="999" t="s">
        <v>687</v>
      </c>
      <c r="Y21" s="999" t="s">
        <v>2540</v>
      </c>
    </row>
    <row r="22" spans="2:25" ht="15" customHeight="1" x14ac:dyDescent="0.25">
      <c r="B22" s="544"/>
      <c r="C22" s="545"/>
      <c r="D22" s="552" t="s">
        <v>18</v>
      </c>
      <c r="E22" s="1186" t="s">
        <v>1404</v>
      </c>
      <c r="F22" s="1187"/>
      <c r="G22" s="1188"/>
      <c r="H22" s="185">
        <v>0</v>
      </c>
      <c r="I22" s="551">
        <f t="shared" ref="I22:I24" si="1">I21-H22</f>
        <v>30795041.452099994</v>
      </c>
      <c r="J22" s="917"/>
      <c r="K22" s="907"/>
      <c r="M22" s="548"/>
      <c r="P22" s="999" t="s">
        <v>1554</v>
      </c>
      <c r="Q22" s="999" t="s">
        <v>1592</v>
      </c>
      <c r="R22" s="999" t="s">
        <v>1588</v>
      </c>
      <c r="S22" s="1045">
        <f>+S18</f>
        <v>45566</v>
      </c>
      <c r="T22" s="999" t="s">
        <v>1</v>
      </c>
      <c r="U22" s="999" t="s">
        <v>2531</v>
      </c>
      <c r="V22" s="999" t="s">
        <v>2532</v>
      </c>
      <c r="W22" s="1043">
        <v>21929.06</v>
      </c>
      <c r="X22" s="999" t="s">
        <v>687</v>
      </c>
      <c r="Y22" s="999" t="s">
        <v>2541</v>
      </c>
    </row>
    <row r="23" spans="2:25" ht="33.6" customHeight="1" x14ac:dyDescent="0.25">
      <c r="B23" s="544"/>
      <c r="C23" s="545"/>
      <c r="D23" s="552" t="s">
        <v>18</v>
      </c>
      <c r="E23" s="1186" t="s">
        <v>1405</v>
      </c>
      <c r="F23" s="1187"/>
      <c r="G23" s="1188"/>
      <c r="H23" s="185">
        <v>0</v>
      </c>
      <c r="I23" s="551">
        <f t="shared" si="1"/>
        <v>30795041.452099994</v>
      </c>
      <c r="J23" s="553"/>
      <c r="K23" s="899"/>
      <c r="M23" s="548"/>
      <c r="P23" s="999"/>
      <c r="Q23" s="999"/>
      <c r="R23" s="999"/>
      <c r="S23" s="999"/>
      <c r="T23" s="999"/>
      <c r="U23" s="999"/>
      <c r="V23" s="999"/>
      <c r="W23" s="1043"/>
      <c r="X23" s="999"/>
      <c r="Y23" s="999"/>
    </row>
    <row r="24" spans="2:25" ht="33.6" customHeight="1" x14ac:dyDescent="0.25">
      <c r="B24" s="544"/>
      <c r="C24" s="545"/>
      <c r="D24" s="552" t="s">
        <v>18</v>
      </c>
      <c r="E24" s="1189" t="s">
        <v>1406</v>
      </c>
      <c r="F24" s="1190"/>
      <c r="G24" s="1191"/>
      <c r="H24" s="185">
        <f>'15 - Priority of Payments'!I17</f>
        <v>18354315.369999994</v>
      </c>
      <c r="I24" s="551">
        <f t="shared" si="1"/>
        <v>12440726.0821</v>
      </c>
      <c r="J24" s="553"/>
      <c r="K24" s="907"/>
      <c r="M24" s="548"/>
    </row>
    <row r="25" spans="2:25" ht="47.1" customHeight="1" x14ac:dyDescent="0.25">
      <c r="B25" s="544"/>
      <c r="C25" s="545"/>
      <c r="D25" s="552" t="s">
        <v>18</v>
      </c>
      <c r="E25" s="1189" t="s">
        <v>1407</v>
      </c>
      <c r="F25" s="1190"/>
      <c r="G25" s="1191"/>
      <c r="H25" s="185">
        <f>+I24-300</f>
        <v>12440426.0821</v>
      </c>
      <c r="I25" s="551">
        <f>I24-H25</f>
        <v>300</v>
      </c>
      <c r="J25" s="553"/>
      <c r="K25" s="554"/>
      <c r="L25" s="905"/>
      <c r="M25" s="548"/>
    </row>
    <row r="26" spans="2:25" ht="15" x14ac:dyDescent="0.25">
      <c r="B26" s="544"/>
      <c r="C26" s="545"/>
      <c r="D26" s="1183"/>
      <c r="E26" s="1184"/>
      <c r="F26" s="1184"/>
      <c r="G26" s="1185"/>
      <c r="H26" s="546"/>
      <c r="I26" s="376">
        <f>I25</f>
        <v>300</v>
      </c>
      <c r="J26" s="553"/>
      <c r="K26" s="555"/>
      <c r="L26" s="548"/>
    </row>
    <row r="27" spans="2:25" ht="15" x14ac:dyDescent="0.25">
      <c r="B27" s="556"/>
      <c r="C27" s="557"/>
      <c r="D27" s="557"/>
      <c r="E27" s="557"/>
      <c r="F27" s="557"/>
      <c r="G27" s="557"/>
      <c r="H27" s="557"/>
      <c r="I27" s="558"/>
      <c r="J27" s="559"/>
      <c r="K27" s="540"/>
      <c r="L27" s="548"/>
      <c r="M27" s="548"/>
    </row>
    <row r="28" spans="2:25" ht="15" x14ac:dyDescent="0.25">
      <c r="K28" s="905"/>
      <c r="L28" s="548"/>
      <c r="M28" s="548"/>
    </row>
    <row r="29" spans="2:25" ht="15" x14ac:dyDescent="0.25">
      <c r="K29" s="905"/>
      <c r="L29" s="548"/>
      <c r="M29" s="548"/>
    </row>
    <row r="30" spans="2:25" ht="15.75" x14ac:dyDescent="0.25">
      <c r="B30" s="560"/>
      <c r="C30" s="1192" t="s">
        <v>1604</v>
      </c>
      <c r="D30" s="1192"/>
      <c r="E30" s="1192"/>
      <c r="F30" s="1192"/>
      <c r="G30" s="1192"/>
      <c r="H30" s="561"/>
      <c r="I30" s="561"/>
      <c r="J30" s="562"/>
      <c r="K30" s="540"/>
      <c r="L30" s="548"/>
      <c r="M30" s="548"/>
    </row>
    <row r="31" spans="2:25" ht="15" x14ac:dyDescent="0.25">
      <c r="B31" s="563"/>
      <c r="C31" s="1193"/>
      <c r="D31" s="1193"/>
      <c r="E31" s="1193"/>
      <c r="F31" s="1193"/>
      <c r="G31" s="1193"/>
      <c r="H31" s="644" t="s">
        <v>8</v>
      </c>
      <c r="I31" s="542" t="s">
        <v>236</v>
      </c>
      <c r="J31" s="564"/>
      <c r="K31" s="540"/>
      <c r="L31" s="548"/>
      <c r="M31" s="548"/>
    </row>
    <row r="32" spans="2:25" ht="15" x14ac:dyDescent="0.25">
      <c r="B32" s="565"/>
      <c r="C32" s="566"/>
      <c r="D32" s="1183" t="s">
        <v>706</v>
      </c>
      <c r="E32" s="1184"/>
      <c r="F32" s="1184"/>
      <c r="G32" s="1185"/>
      <c r="H32" s="546"/>
      <c r="I32" s="376">
        <v>0</v>
      </c>
      <c r="J32" s="567"/>
      <c r="K32" s="540"/>
      <c r="L32" s="548"/>
    </row>
    <row r="33" spans="2:13" ht="33.6" customHeight="1" x14ac:dyDescent="0.25">
      <c r="B33" s="565"/>
      <c r="C33" s="566"/>
      <c r="D33" s="549" t="s">
        <v>9</v>
      </c>
      <c r="E33" s="1178" t="s">
        <v>1408</v>
      </c>
      <c r="F33" s="1179"/>
      <c r="G33" s="1180"/>
      <c r="H33" s="550">
        <f>'15 - Priority of Payments'!I15</f>
        <v>18350799.909999993</v>
      </c>
      <c r="I33" s="551">
        <f>I32+H33</f>
        <v>18350799.909999993</v>
      </c>
      <c r="J33" s="567"/>
      <c r="K33" s="540"/>
      <c r="L33" s="548"/>
      <c r="M33" s="548"/>
    </row>
    <row r="34" spans="2:13" ht="27" customHeight="1" x14ac:dyDescent="0.25">
      <c r="B34" s="565"/>
      <c r="C34" s="566"/>
      <c r="D34" s="549" t="s">
        <v>9</v>
      </c>
      <c r="E34" s="1178" t="s">
        <v>1409</v>
      </c>
      <c r="F34" s="1179"/>
      <c r="G34" s="1180"/>
      <c r="H34" s="550">
        <f>'10 -Principal Deficiency Ledger'!C12</f>
        <v>3515.46</v>
      </c>
      <c r="I34" s="551">
        <f>I33+H34</f>
        <v>18354315.369999994</v>
      </c>
      <c r="J34" s="897"/>
      <c r="K34" s="898"/>
      <c r="L34" s="548"/>
      <c r="M34" s="548"/>
    </row>
    <row r="35" spans="2:13" ht="34.5" customHeight="1" x14ac:dyDescent="0.25">
      <c r="B35" s="565"/>
      <c r="C35" s="566"/>
      <c r="D35" s="552" t="s">
        <v>18</v>
      </c>
      <c r="E35" s="1186" t="s">
        <v>724</v>
      </c>
      <c r="F35" s="1187"/>
      <c r="G35" s="1188"/>
      <c r="H35" s="185">
        <f>SUM('15 - Priority of Payments'!J24:J27)</f>
        <v>18354315.369999994</v>
      </c>
      <c r="I35" s="551">
        <f>I34-H35</f>
        <v>0</v>
      </c>
      <c r="J35" s="568"/>
      <c r="K35" s="540"/>
      <c r="L35" s="548"/>
      <c r="M35" s="548"/>
    </row>
    <row r="36" spans="2:13" ht="15" x14ac:dyDescent="0.25">
      <c r="B36" s="565"/>
      <c r="C36" s="566"/>
      <c r="D36" s="1183"/>
      <c r="E36" s="1184"/>
      <c r="F36" s="1184"/>
      <c r="G36" s="1185"/>
      <c r="H36" s="546"/>
      <c r="I36" s="815">
        <f>I35</f>
        <v>0</v>
      </c>
      <c r="J36" s="568"/>
      <c r="K36" s="865"/>
      <c r="L36" s="548"/>
    </row>
    <row r="37" spans="2:13" ht="15" x14ac:dyDescent="0.25">
      <c r="B37" s="569"/>
      <c r="C37" s="570"/>
      <c r="D37" s="570"/>
      <c r="E37" s="570"/>
      <c r="F37" s="570"/>
      <c r="G37" s="570"/>
      <c r="H37" s="570"/>
      <c r="I37" s="571"/>
      <c r="J37" s="572"/>
      <c r="K37" s="540"/>
      <c r="L37" s="548"/>
      <c r="M37" s="548"/>
    </row>
    <row r="38" spans="2:13" ht="15" x14ac:dyDescent="0.25">
      <c r="K38" s="540"/>
      <c r="L38" s="548"/>
      <c r="M38" s="548"/>
    </row>
    <row r="39" spans="2:13" ht="15" x14ac:dyDescent="0.25">
      <c r="K39" s="540"/>
      <c r="L39" s="548"/>
      <c r="M39" s="548"/>
    </row>
    <row r="40" spans="2:13" ht="15" x14ac:dyDescent="0.25">
      <c r="K40" s="540"/>
      <c r="L40" s="548"/>
      <c r="M40" s="548"/>
    </row>
    <row r="41" spans="2:13" ht="15.75" x14ac:dyDescent="0.25">
      <c r="B41" s="537"/>
      <c r="C41" s="1181" t="s">
        <v>1603</v>
      </c>
      <c r="D41" s="1181"/>
      <c r="E41" s="1181"/>
      <c r="F41" s="1181"/>
      <c r="G41" s="1181"/>
      <c r="H41" s="538"/>
      <c r="I41" s="538"/>
      <c r="J41" s="539"/>
      <c r="K41" s="540"/>
      <c r="L41" s="548"/>
      <c r="M41" s="548"/>
    </row>
    <row r="42" spans="2:13" ht="15" x14ac:dyDescent="0.25">
      <c r="B42" s="541"/>
      <c r="C42" s="1182"/>
      <c r="D42" s="1182"/>
      <c r="E42" s="1182"/>
      <c r="F42" s="1182"/>
      <c r="G42" s="1182"/>
      <c r="H42" s="644" t="s">
        <v>8</v>
      </c>
      <c r="I42" s="542" t="s">
        <v>236</v>
      </c>
      <c r="J42" s="543"/>
      <c r="K42" s="540"/>
      <c r="L42" s="548"/>
      <c r="M42" s="548"/>
    </row>
    <row r="43" spans="2:13" ht="15" x14ac:dyDescent="0.25">
      <c r="B43" s="544"/>
      <c r="C43" s="545"/>
      <c r="D43" s="1183" t="s">
        <v>706</v>
      </c>
      <c r="E43" s="1184"/>
      <c r="F43" s="1184"/>
      <c r="G43" s="1185"/>
      <c r="H43" s="546"/>
      <c r="I43" s="376">
        <v>0</v>
      </c>
      <c r="J43" s="547"/>
      <c r="K43" s="540"/>
      <c r="L43" s="548"/>
    </row>
    <row r="44" spans="2:13" ht="57.6" customHeight="1" x14ac:dyDescent="0.25">
      <c r="B44" s="544"/>
      <c r="C44" s="545"/>
      <c r="D44" s="549" t="s">
        <v>9</v>
      </c>
      <c r="E44" s="1178" t="s">
        <v>1410</v>
      </c>
      <c r="F44" s="1179"/>
      <c r="G44" s="1180"/>
      <c r="H44" s="550">
        <f>+I19-H24-L17-M17</f>
        <v>12275685.812100001</v>
      </c>
      <c r="I44" s="551">
        <f>I43+H44</f>
        <v>12275685.812100001</v>
      </c>
      <c r="J44" s="547"/>
      <c r="K44" s="905"/>
      <c r="M44" s="548"/>
    </row>
    <row r="45" spans="2:13" ht="23.1" customHeight="1" x14ac:dyDescent="0.25">
      <c r="B45" s="544"/>
      <c r="C45" s="545"/>
      <c r="D45" s="549" t="s">
        <v>9</v>
      </c>
      <c r="E45" s="1178" t="s">
        <v>1411</v>
      </c>
      <c r="F45" s="1179"/>
      <c r="G45" s="1180"/>
      <c r="H45" s="550">
        <f>'10 -Principal Deficiency Ledger'!E12</f>
        <v>0</v>
      </c>
      <c r="I45" s="551">
        <f t="shared" ref="I45:I46" si="2">I44+H45</f>
        <v>12275685.812100001</v>
      </c>
      <c r="J45" s="547"/>
      <c r="K45" s="540"/>
      <c r="M45" s="548"/>
    </row>
    <row r="46" spans="2:13" ht="27.6" customHeight="1" x14ac:dyDescent="0.25">
      <c r="B46" s="544"/>
      <c r="C46" s="545"/>
      <c r="D46" s="549" t="s">
        <v>9</v>
      </c>
      <c r="E46" s="1178" t="s">
        <v>1500</v>
      </c>
      <c r="F46" s="1179"/>
      <c r="G46" s="1180"/>
      <c r="H46" s="550">
        <f>+L17+M17</f>
        <v>165040.27000000002</v>
      </c>
      <c r="I46" s="551">
        <f t="shared" si="2"/>
        <v>12440726.0821</v>
      </c>
      <c r="J46" s="553"/>
      <c r="K46" s="911"/>
      <c r="M46" s="548"/>
    </row>
    <row r="47" spans="2:13" ht="32.450000000000003" customHeight="1" x14ac:dyDescent="0.25">
      <c r="B47" s="544"/>
      <c r="C47" s="545"/>
      <c r="D47" s="552" t="s">
        <v>18</v>
      </c>
      <c r="E47" s="1189" t="s">
        <v>725</v>
      </c>
      <c r="F47" s="1190"/>
      <c r="G47" s="1191"/>
      <c r="H47" s="185">
        <f>+I46</f>
        <v>12440726.0821</v>
      </c>
      <c r="I47" s="551">
        <f>I46-H47</f>
        <v>0</v>
      </c>
      <c r="J47" s="553"/>
      <c r="K47" s="905"/>
      <c r="L47" s="554"/>
      <c r="M47" s="548"/>
    </row>
    <row r="48" spans="2:13" ht="15" x14ac:dyDescent="0.25">
      <c r="B48" s="544"/>
      <c r="C48" s="545"/>
      <c r="D48" s="1183"/>
      <c r="E48" s="1184"/>
      <c r="F48" s="1184"/>
      <c r="G48" s="1185"/>
      <c r="H48" s="546"/>
      <c r="I48" s="815">
        <f>+I47</f>
        <v>0</v>
      </c>
      <c r="J48" s="553"/>
      <c r="K48" s="555"/>
    </row>
    <row r="49" spans="2:16" ht="15" x14ac:dyDescent="0.25">
      <c r="B49" s="556"/>
      <c r="C49" s="557"/>
      <c r="D49" s="557"/>
      <c r="E49" s="557"/>
      <c r="F49" s="557"/>
      <c r="G49" s="557"/>
      <c r="H49" s="557"/>
      <c r="I49" s="558"/>
      <c r="J49" s="559"/>
      <c r="K49" s="540"/>
      <c r="M49" s="548"/>
    </row>
    <row r="50" spans="2:16" ht="15" x14ac:dyDescent="0.25">
      <c r="K50" s="540"/>
      <c r="M50" s="548"/>
    </row>
    <row r="51" spans="2:16" ht="15" x14ac:dyDescent="0.25">
      <c r="K51" s="540"/>
      <c r="M51" s="548"/>
    </row>
    <row r="52" spans="2:16" ht="15.75" x14ac:dyDescent="0.25">
      <c r="B52" s="560"/>
      <c r="C52" s="1192" t="s">
        <v>1602</v>
      </c>
      <c r="D52" s="1192"/>
      <c r="E52" s="1192"/>
      <c r="F52" s="1192"/>
      <c r="G52" s="1192"/>
      <c r="H52" s="561"/>
      <c r="I52" s="561"/>
      <c r="J52" s="562"/>
      <c r="K52" s="540"/>
      <c r="M52" s="548"/>
    </row>
    <row r="53" spans="2:16" ht="15" x14ac:dyDescent="0.25">
      <c r="B53" s="563"/>
      <c r="C53" s="1193"/>
      <c r="D53" s="1193"/>
      <c r="E53" s="1193"/>
      <c r="F53" s="1193"/>
      <c r="G53" s="1193"/>
      <c r="H53" s="644" t="s">
        <v>8</v>
      </c>
      <c r="I53" s="542" t="s">
        <v>236</v>
      </c>
      <c r="J53" s="564"/>
      <c r="K53" s="888"/>
      <c r="L53" s="554"/>
      <c r="M53" s="548"/>
    </row>
    <row r="54" spans="2:16" ht="15" x14ac:dyDescent="0.25">
      <c r="B54" s="565"/>
      <c r="C54" s="566"/>
      <c r="D54" s="1183" t="s">
        <v>706</v>
      </c>
      <c r="E54" s="1184"/>
      <c r="F54" s="1184"/>
      <c r="G54" s="1185"/>
      <c r="H54" s="546"/>
      <c r="I54" s="815">
        <v>9754251.5420999993</v>
      </c>
      <c r="J54" s="567"/>
      <c r="K54" s="540"/>
    </row>
    <row r="55" spans="2:16" ht="15" x14ac:dyDescent="0.25">
      <c r="B55" s="565"/>
      <c r="C55" s="566"/>
      <c r="D55" s="549" t="s">
        <v>9</v>
      </c>
      <c r="E55" s="1178" t="s">
        <v>1455</v>
      </c>
      <c r="F55" s="1179"/>
      <c r="G55" s="1180"/>
      <c r="H55" s="550">
        <f>+M17</f>
        <v>69180.350000000006</v>
      </c>
      <c r="I55" s="551">
        <f>I54+H55</f>
        <v>9823431.8920999989</v>
      </c>
      <c r="J55" s="567"/>
      <c r="K55" s="540"/>
    </row>
    <row r="56" spans="2:16" ht="42" customHeight="1" x14ac:dyDescent="0.25">
      <c r="B56" s="565"/>
      <c r="C56" s="566"/>
      <c r="D56" s="549" t="s">
        <v>9</v>
      </c>
      <c r="E56" s="1178" t="s">
        <v>1412</v>
      </c>
      <c r="F56" s="1179"/>
      <c r="G56" s="1180"/>
      <c r="H56" s="550">
        <f>O65</f>
        <v>9507056.7161999997</v>
      </c>
      <c r="I56" s="551">
        <f>I55+H56</f>
        <v>19330488.6083</v>
      </c>
      <c r="J56" s="567"/>
      <c r="K56" s="540"/>
      <c r="M56" s="548"/>
    </row>
    <row r="57" spans="2:16" ht="44.1" customHeight="1" x14ac:dyDescent="0.2">
      <c r="B57" s="565"/>
      <c r="C57" s="566"/>
      <c r="D57" s="549" t="s">
        <v>9</v>
      </c>
      <c r="E57" s="1178" t="s">
        <v>1413</v>
      </c>
      <c r="F57" s="1179"/>
      <c r="G57" s="1180"/>
      <c r="H57" s="550">
        <v>0</v>
      </c>
      <c r="I57" s="551">
        <f t="shared" ref="I57" si="3">I56+H57</f>
        <v>19330488.6083</v>
      </c>
      <c r="J57" s="568"/>
      <c r="M57" s="548"/>
      <c r="N57"/>
      <c r="O57"/>
    </row>
    <row r="58" spans="2:16" ht="44.1" customHeight="1" x14ac:dyDescent="0.2">
      <c r="B58" s="565"/>
      <c r="C58" s="566"/>
      <c r="D58" s="552" t="s">
        <v>18</v>
      </c>
      <c r="E58" s="901" t="s">
        <v>1458</v>
      </c>
      <c r="F58" s="902"/>
      <c r="G58" s="900"/>
      <c r="H58" s="185">
        <v>0</v>
      </c>
      <c r="I58" s="551">
        <f>+I57-H58</f>
        <v>19330488.6083</v>
      </c>
      <c r="J58" s="568"/>
      <c r="M58" s="548"/>
      <c r="N58"/>
      <c r="O58"/>
    </row>
    <row r="59" spans="2:16" ht="33.950000000000003" customHeight="1" x14ac:dyDescent="0.25">
      <c r="B59" s="565"/>
      <c r="C59" s="566"/>
      <c r="D59" s="552" t="s">
        <v>18</v>
      </c>
      <c r="E59" s="1189" t="s">
        <v>1414</v>
      </c>
      <c r="F59" s="1190"/>
      <c r="G59" s="1191"/>
      <c r="H59" s="185">
        <f>I58-H56</f>
        <v>9823431.8921000008</v>
      </c>
      <c r="I59" s="551">
        <f>I58-H59</f>
        <v>9507056.7161999997</v>
      </c>
      <c r="J59" s="568"/>
      <c r="K59" s="540"/>
      <c r="M59" s="548"/>
      <c r="N59"/>
      <c r="O59" s="871" t="s">
        <v>1458</v>
      </c>
      <c r="P59" s="554"/>
    </row>
    <row r="60" spans="2:16" ht="39" x14ac:dyDescent="0.25">
      <c r="B60" s="565"/>
      <c r="C60" s="566"/>
      <c r="D60" s="552" t="s">
        <v>18</v>
      </c>
      <c r="E60" s="1189" t="s">
        <v>1415</v>
      </c>
      <c r="F60" s="1190"/>
      <c r="G60" s="1191"/>
      <c r="H60" s="185">
        <v>0</v>
      </c>
      <c r="I60" s="551">
        <f>I59-H60</f>
        <v>9507056.7161999997</v>
      </c>
      <c r="J60" s="568"/>
      <c r="K60" s="555"/>
      <c r="M60" s="548"/>
      <c r="N60" s="866" t="s">
        <v>1466</v>
      </c>
      <c r="O60" s="867">
        <f>'11 - Notes Follow-up'!D24</f>
        <v>633803781.08000004</v>
      </c>
      <c r="P60" s="554"/>
    </row>
    <row r="61" spans="2:16" ht="15" x14ac:dyDescent="0.25">
      <c r="B61" s="565"/>
      <c r="C61" s="566"/>
      <c r="D61" s="1183"/>
      <c r="E61" s="1184"/>
      <c r="F61" s="1184"/>
      <c r="G61" s="1185"/>
      <c r="H61" s="546"/>
      <c r="I61" s="815">
        <f>I60</f>
        <v>9507056.7161999997</v>
      </c>
      <c r="J61" s="568"/>
      <c r="K61" s="555"/>
      <c r="N61" s="866" t="s">
        <v>1456</v>
      </c>
      <c r="O61" s="867">
        <v>3500000</v>
      </c>
    </row>
    <row r="62" spans="2:16" ht="25.5" x14ac:dyDescent="0.2">
      <c r="B62" s="569"/>
      <c r="C62" s="570"/>
      <c r="D62" s="570"/>
      <c r="E62" s="570"/>
      <c r="F62" s="570"/>
      <c r="G62" s="570"/>
      <c r="H62" s="570"/>
      <c r="I62" s="571"/>
      <c r="J62" s="572"/>
      <c r="N62" s="866" t="s">
        <v>1467</v>
      </c>
      <c r="O62" s="867">
        <f>'11 - Notes Follow-up'!D24</f>
        <v>633803781.08000004</v>
      </c>
    </row>
    <row r="63" spans="2:16" x14ac:dyDescent="0.2">
      <c r="N63" s="866" t="s">
        <v>1457</v>
      </c>
      <c r="O63" s="868">
        <v>1.4999999999999999E-2</v>
      </c>
    </row>
    <row r="64" spans="2:16" x14ac:dyDescent="0.2">
      <c r="N64" s="866" t="s">
        <v>1469</v>
      </c>
      <c r="O64" s="867">
        <f>MAX(O61,O62*O63)</f>
        <v>9507056.7161999997</v>
      </c>
    </row>
    <row r="65" spans="14:17" ht="38.25" x14ac:dyDescent="0.2">
      <c r="N65" s="869" t="s">
        <v>1468</v>
      </c>
      <c r="O65" s="870">
        <f>MIN(O64,O60)</f>
        <v>9507056.7161999997</v>
      </c>
      <c r="Q65" s="876">
        <f>I54-O65</f>
        <v>247194.82589999959</v>
      </c>
    </row>
  </sheetData>
  <mergeCells count="42">
    <mergeCell ref="E22:G22"/>
    <mergeCell ref="E23:G23"/>
    <mergeCell ref="E24:G24"/>
    <mergeCell ref="D61:G61"/>
    <mergeCell ref="E46:G46"/>
    <mergeCell ref="E47:G47"/>
    <mergeCell ref="D48:G48"/>
    <mergeCell ref="C52:G53"/>
    <mergeCell ref="D54:G54"/>
    <mergeCell ref="E56:G56"/>
    <mergeCell ref="E57:G57"/>
    <mergeCell ref="E59:G59"/>
    <mergeCell ref="E60:G60"/>
    <mergeCell ref="E55:G55"/>
    <mergeCell ref="C10:G11"/>
    <mergeCell ref="D12:G12"/>
    <mergeCell ref="E13:G13"/>
    <mergeCell ref="E45:G45"/>
    <mergeCell ref="E33:G33"/>
    <mergeCell ref="E34:G34"/>
    <mergeCell ref="E35:G35"/>
    <mergeCell ref="E21:G21"/>
    <mergeCell ref="E25:G25"/>
    <mergeCell ref="D26:G26"/>
    <mergeCell ref="C30:G31"/>
    <mergeCell ref="D32:G32"/>
    <mergeCell ref="D36:G36"/>
    <mergeCell ref="C41:G42"/>
    <mergeCell ref="D43:G43"/>
    <mergeCell ref="E44:G44"/>
    <mergeCell ref="D14:D15"/>
    <mergeCell ref="E16:G16"/>
    <mergeCell ref="E20:G20"/>
    <mergeCell ref="E17:G17"/>
    <mergeCell ref="E18:G18"/>
    <mergeCell ref="E19:G19"/>
    <mergeCell ref="M18:M19"/>
    <mergeCell ref="I14:I15"/>
    <mergeCell ref="E14:F14"/>
    <mergeCell ref="H14:H15"/>
    <mergeCell ref="L14:L16"/>
    <mergeCell ref="M14:M16"/>
  </mergeCells>
  <pageMargins left="0.7" right="0.7" top="0.75" bottom="0.75" header="0.3" footer="0.3"/>
  <pageSetup scale="27" orientation="portrait" r:id="rId1"/>
  <colBreaks count="1" manualBreakCount="1">
    <brk id="20" max="66" man="1"/>
  </col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3">
    <tabColor theme="0" tint="-0.249977111117893"/>
    <pageSetUpPr fitToPage="1"/>
  </sheetPr>
  <dimension ref="C2:P81"/>
  <sheetViews>
    <sheetView showGridLines="0" topLeftCell="C40" zoomScale="85" zoomScaleNormal="85" workbookViewId="0">
      <selection activeCell="I35" sqref="I35"/>
    </sheetView>
  </sheetViews>
  <sheetFormatPr defaultColWidth="11.5703125" defaultRowHeight="12.75" x14ac:dyDescent="0.2"/>
  <cols>
    <col min="1" max="1" width="3" customWidth="1"/>
    <col min="2" max="2" width="2.5703125" customWidth="1"/>
    <col min="3" max="3" width="123.7109375" customWidth="1"/>
    <col min="4" max="4" width="15.5703125" style="1" bestFit="1" customWidth="1"/>
    <col min="5" max="5" width="19" style="1" customWidth="1"/>
    <col min="6" max="6" width="28.140625" style="1" customWidth="1"/>
    <col min="7" max="7" width="19.85546875" style="1" bestFit="1" customWidth="1"/>
    <col min="8" max="8" width="19.85546875" customWidth="1"/>
    <col min="9" max="9" width="51.42578125" style="1" customWidth="1"/>
    <col min="10" max="10" width="19.5703125" style="157" customWidth="1"/>
    <col min="11" max="11" width="12.42578125" customWidth="1"/>
    <col min="12" max="12" width="2.5703125" customWidth="1"/>
    <col min="13" max="13" width="31.42578125" customWidth="1"/>
    <col min="14" max="14" width="12.85546875" bestFit="1" customWidth="1"/>
  </cols>
  <sheetData>
    <row r="2" spans="3:16" x14ac:dyDescent="0.2">
      <c r="J2" s="928"/>
      <c r="K2" s="1"/>
      <c r="L2" s="1"/>
      <c r="M2" s="1"/>
    </row>
    <row r="3" spans="3:16" ht="15" x14ac:dyDescent="0.2">
      <c r="I3"/>
      <c r="J3" s="929"/>
      <c r="K3" s="144"/>
    </row>
    <row r="4" spans="3:16" x14ac:dyDescent="0.2">
      <c r="I4" s="812" t="s">
        <v>655</v>
      </c>
      <c r="J4" s="812">
        <f>'00 - Cover'!F15</f>
        <v>45580</v>
      </c>
      <c r="K4" s="144"/>
      <c r="P4" s="215"/>
    </row>
    <row r="5" spans="3:16" x14ac:dyDescent="0.2">
      <c r="I5" s="812" t="s">
        <v>94</v>
      </c>
      <c r="J5" s="812">
        <f>'00 - Cover'!F16</f>
        <v>45583</v>
      </c>
      <c r="K5" s="144"/>
      <c r="P5" s="215"/>
    </row>
    <row r="6" spans="3:16" x14ac:dyDescent="0.2">
      <c r="I6" s="812" t="s">
        <v>87</v>
      </c>
      <c r="J6" s="812">
        <f>'00 - Cover'!F17</f>
        <v>45590</v>
      </c>
      <c r="K6" s="1"/>
      <c r="L6" s="1"/>
      <c r="M6" s="1"/>
      <c r="P6" s="215"/>
    </row>
    <row r="7" spans="3:16" x14ac:dyDescent="0.2">
      <c r="D7" s="382"/>
      <c r="K7" s="1"/>
      <c r="L7" s="1"/>
      <c r="M7" s="1"/>
      <c r="P7" s="215"/>
    </row>
    <row r="8" spans="3:16" x14ac:dyDescent="0.2">
      <c r="I8" s="1194" t="s">
        <v>1445</v>
      </c>
      <c r="J8" s="1195"/>
      <c r="P8" s="215"/>
    </row>
    <row r="9" spans="3:16" x14ac:dyDescent="0.2">
      <c r="I9" s="812" t="s">
        <v>92</v>
      </c>
      <c r="J9" s="812">
        <f>'12 - Notes Interest'!D17</f>
        <v>45498</v>
      </c>
      <c r="P9" s="215"/>
    </row>
    <row r="10" spans="3:16" x14ac:dyDescent="0.2">
      <c r="I10" s="812" t="s">
        <v>87</v>
      </c>
      <c r="J10" s="812">
        <f>J6</f>
        <v>45590</v>
      </c>
      <c r="P10" s="215"/>
    </row>
    <row r="11" spans="3:16" x14ac:dyDescent="0.2">
      <c r="I11" s="812" t="s">
        <v>172</v>
      </c>
      <c r="J11" s="930">
        <f>J10-J9</f>
        <v>92</v>
      </c>
      <c r="P11" s="215"/>
    </row>
    <row r="12" spans="3:16" ht="18" customHeight="1" x14ac:dyDescent="0.2">
      <c r="I12" s="288"/>
      <c r="J12" s="931"/>
      <c r="P12" s="215"/>
    </row>
    <row r="13" spans="3:16" ht="15" x14ac:dyDescent="0.25">
      <c r="C13" s="1198" t="s">
        <v>214</v>
      </c>
      <c r="D13" s="1199"/>
      <c r="E13" s="1199"/>
      <c r="F13" s="1199"/>
      <c r="G13" s="1199"/>
      <c r="H13" s="1199"/>
      <c r="I13" s="1199"/>
      <c r="J13" s="1199"/>
      <c r="K13" s="1199"/>
      <c r="P13" s="215"/>
    </row>
    <row r="14" spans="3:16" x14ac:dyDescent="0.2">
      <c r="C14" s="117"/>
      <c r="D14" s="117"/>
      <c r="E14" s="256"/>
      <c r="F14" s="117"/>
      <c r="G14" s="117"/>
      <c r="H14" s="117"/>
      <c r="I14" s="117"/>
      <c r="J14" s="932"/>
      <c r="K14" s="117"/>
      <c r="P14" s="215"/>
    </row>
    <row r="15" spans="3:16" ht="13.5" thickBot="1" x14ac:dyDescent="0.25">
      <c r="C15" s="117"/>
      <c r="D15" s="117"/>
      <c r="E15" s="256"/>
      <c r="F15" s="117"/>
      <c r="G15" s="117"/>
      <c r="H15" s="117"/>
      <c r="I15" s="117"/>
      <c r="J15" s="932"/>
      <c r="K15" s="117"/>
      <c r="P15" s="215"/>
    </row>
    <row r="16" spans="3:16" ht="13.5" thickBot="1" x14ac:dyDescent="0.25">
      <c r="C16" s="589" t="s">
        <v>110</v>
      </c>
      <c r="D16" s="590" t="s">
        <v>111</v>
      </c>
      <c r="E16" s="590" t="s">
        <v>112</v>
      </c>
      <c r="F16" s="591" t="s">
        <v>113</v>
      </c>
      <c r="G16" s="592" t="s">
        <v>114</v>
      </c>
      <c r="H16" s="591" t="s">
        <v>115</v>
      </c>
      <c r="I16" s="593" t="s">
        <v>116</v>
      </c>
      <c r="J16" s="933" t="s">
        <v>117</v>
      </c>
      <c r="K16" s="594" t="s">
        <v>118</v>
      </c>
      <c r="M16" s="215"/>
      <c r="P16" s="215"/>
    </row>
    <row r="17" spans="3:16" x14ac:dyDescent="0.2">
      <c r="C17" s="257" t="s">
        <v>119</v>
      </c>
      <c r="D17" s="1200" t="s">
        <v>2479</v>
      </c>
      <c r="E17" s="266"/>
      <c r="F17" s="267"/>
      <c r="G17" s="268"/>
      <c r="H17" s="286"/>
      <c r="I17" s="596"/>
      <c r="J17" s="270"/>
      <c r="K17" s="270"/>
      <c r="P17" s="215"/>
    </row>
    <row r="18" spans="3:16" x14ac:dyDescent="0.2">
      <c r="C18" s="262" t="s">
        <v>152</v>
      </c>
      <c r="D18" s="1201"/>
      <c r="E18" s="263">
        <v>55000</v>
      </c>
      <c r="F18" s="259">
        <v>1</v>
      </c>
      <c r="G18" s="260">
        <f>(E18*(1+H18))-E18</f>
        <v>0</v>
      </c>
      <c r="H18" s="283">
        <v>0</v>
      </c>
      <c r="I18" s="595" t="s">
        <v>164</v>
      </c>
      <c r="J18" s="261">
        <f>ROUND((E18+G18),2)*0</f>
        <v>0</v>
      </c>
      <c r="K18" s="261"/>
      <c r="M18" s="3"/>
      <c r="P18" s="215"/>
    </row>
    <row r="19" spans="3:16" x14ac:dyDescent="0.2">
      <c r="C19" s="265" t="s">
        <v>120</v>
      </c>
      <c r="D19" s="1201"/>
      <c r="E19" s="266"/>
      <c r="F19" s="267"/>
      <c r="G19" s="268"/>
      <c r="H19" s="286"/>
      <c r="I19" s="596"/>
      <c r="J19" s="270"/>
      <c r="K19" s="270"/>
      <c r="M19" s="3"/>
      <c r="P19" s="215"/>
    </row>
    <row r="20" spans="3:16" x14ac:dyDescent="0.2">
      <c r="C20" s="264" t="s">
        <v>153</v>
      </c>
      <c r="D20" s="1201"/>
      <c r="E20" s="258">
        <v>60000</v>
      </c>
      <c r="F20" s="259">
        <v>1</v>
      </c>
      <c r="G20" s="260">
        <f t="shared" ref="G20:G25" si="0">(E20*(1+H20))-E20</f>
        <v>0</v>
      </c>
      <c r="H20" s="283">
        <v>0</v>
      </c>
      <c r="I20" s="595" t="s">
        <v>221</v>
      </c>
      <c r="J20" s="261">
        <f>ROUND((E20+G20)*$J$11/365,2)</f>
        <v>15123.29</v>
      </c>
      <c r="K20" s="261"/>
      <c r="M20" s="3"/>
      <c r="P20" s="215"/>
    </row>
    <row r="21" spans="3:16" x14ac:dyDescent="0.2">
      <c r="C21" s="264" t="s">
        <v>1463</v>
      </c>
      <c r="D21" s="1201"/>
      <c r="E21" s="258">
        <v>100</v>
      </c>
      <c r="F21" s="259">
        <v>1</v>
      </c>
      <c r="G21" s="260">
        <f t="shared" si="0"/>
        <v>20</v>
      </c>
      <c r="H21" s="283">
        <v>0.2</v>
      </c>
      <c r="I21" s="595" t="s">
        <v>1437</v>
      </c>
      <c r="J21" s="261">
        <f>ROUND((E21+G21),2)*0</f>
        <v>0</v>
      </c>
      <c r="K21" s="261"/>
      <c r="M21" s="3"/>
      <c r="P21" s="215"/>
    </row>
    <row r="22" spans="3:16" x14ac:dyDescent="0.2">
      <c r="C22" s="264" t="s">
        <v>154</v>
      </c>
      <c r="D22" s="1201"/>
      <c r="E22" s="258">
        <v>0</v>
      </c>
      <c r="F22" s="259">
        <v>1</v>
      </c>
      <c r="G22" s="260">
        <f t="shared" si="0"/>
        <v>0</v>
      </c>
      <c r="H22" s="283">
        <v>0</v>
      </c>
      <c r="I22" s="595" t="s">
        <v>222</v>
      </c>
      <c r="J22" s="261">
        <f t="shared" ref="J22:J31" si="1">ROUND((E22+G22),2)</f>
        <v>0</v>
      </c>
      <c r="K22" s="261"/>
      <c r="M22" s="3"/>
      <c r="P22" s="215"/>
    </row>
    <row r="23" spans="3:16" x14ac:dyDescent="0.2">
      <c r="C23" s="264" t="s">
        <v>155</v>
      </c>
      <c r="D23" s="1201"/>
      <c r="E23" s="258">
        <v>0</v>
      </c>
      <c r="F23" s="259">
        <v>1</v>
      </c>
      <c r="G23" s="260">
        <f t="shared" si="0"/>
        <v>0</v>
      </c>
      <c r="H23" s="283">
        <v>0</v>
      </c>
      <c r="I23" s="595" t="s">
        <v>223</v>
      </c>
      <c r="J23" s="261">
        <f t="shared" si="1"/>
        <v>0</v>
      </c>
      <c r="K23" s="261"/>
      <c r="M23" s="3"/>
      <c r="P23" s="215"/>
    </row>
    <row r="24" spans="3:16" x14ac:dyDescent="0.2">
      <c r="C24" s="264" t="s">
        <v>156</v>
      </c>
      <c r="D24" s="1201"/>
      <c r="E24" s="258">
        <v>0</v>
      </c>
      <c r="F24" s="259">
        <v>1</v>
      </c>
      <c r="G24" s="260">
        <f t="shared" si="0"/>
        <v>0</v>
      </c>
      <c r="H24" s="283">
        <v>0</v>
      </c>
      <c r="I24" s="595" t="s">
        <v>224</v>
      </c>
      <c r="J24" s="261">
        <f t="shared" si="1"/>
        <v>0</v>
      </c>
      <c r="K24" s="261"/>
      <c r="M24" s="3"/>
      <c r="P24" s="215"/>
    </row>
    <row r="25" spans="3:16" x14ac:dyDescent="0.2">
      <c r="C25" s="264" t="s">
        <v>157</v>
      </c>
      <c r="D25" s="1201"/>
      <c r="E25" s="258">
        <v>0</v>
      </c>
      <c r="F25" s="259">
        <v>1</v>
      </c>
      <c r="G25" s="260">
        <f t="shared" si="0"/>
        <v>0</v>
      </c>
      <c r="H25" s="283">
        <v>0</v>
      </c>
      <c r="I25" s="595" t="s">
        <v>161</v>
      </c>
      <c r="J25" s="261">
        <f t="shared" si="1"/>
        <v>0</v>
      </c>
      <c r="K25" s="261"/>
      <c r="M25" s="3"/>
      <c r="P25" s="215"/>
    </row>
    <row r="26" spans="3:16" x14ac:dyDescent="0.2">
      <c r="C26" s="264" t="s">
        <v>158</v>
      </c>
      <c r="D26" s="1201"/>
      <c r="E26" s="258"/>
      <c r="F26" s="259">
        <v>1</v>
      </c>
      <c r="G26" s="260">
        <f t="shared" ref="G26:G34" si="2">(E26*(1+H26))-E26</f>
        <v>0</v>
      </c>
      <c r="H26" s="283">
        <v>0</v>
      </c>
      <c r="I26" s="595" t="s">
        <v>225</v>
      </c>
      <c r="J26" s="261">
        <f t="shared" si="1"/>
        <v>0</v>
      </c>
      <c r="K26" s="261"/>
      <c r="P26" s="215"/>
    </row>
    <row r="27" spans="3:16" x14ac:dyDescent="0.2">
      <c r="C27" s="264" t="s">
        <v>169</v>
      </c>
      <c r="D27" s="1201"/>
      <c r="E27" s="258">
        <v>15000</v>
      </c>
      <c r="F27" s="259">
        <v>1</v>
      </c>
      <c r="G27" s="260">
        <f t="shared" si="2"/>
        <v>0</v>
      </c>
      <c r="H27" s="283">
        <v>0</v>
      </c>
      <c r="I27" s="595" t="s">
        <v>226</v>
      </c>
      <c r="J27" s="261">
        <f>ROUND((E27+G27),2)*0</f>
        <v>0</v>
      </c>
      <c r="K27" s="261"/>
      <c r="P27" s="215"/>
    </row>
    <row r="28" spans="3:16" x14ac:dyDescent="0.2">
      <c r="C28" s="264" t="s">
        <v>170</v>
      </c>
      <c r="D28" s="1201"/>
      <c r="E28" s="258">
        <v>10000</v>
      </c>
      <c r="F28" s="259">
        <v>1</v>
      </c>
      <c r="G28" s="260">
        <f t="shared" si="2"/>
        <v>0</v>
      </c>
      <c r="H28" s="283">
        <v>0</v>
      </c>
      <c r="I28" s="595" t="s">
        <v>226</v>
      </c>
      <c r="J28" s="261">
        <f>ROUND((E28+G28),2)*0</f>
        <v>0</v>
      </c>
      <c r="K28" s="261"/>
      <c r="P28" s="215"/>
    </row>
    <row r="29" spans="3:16" x14ac:dyDescent="0.2">
      <c r="C29" s="264" t="s">
        <v>171</v>
      </c>
      <c r="D29" s="1201"/>
      <c r="E29" s="258">
        <v>8000</v>
      </c>
      <c r="F29" s="259">
        <v>1</v>
      </c>
      <c r="G29" s="260">
        <f t="shared" si="2"/>
        <v>0</v>
      </c>
      <c r="H29" s="283">
        <v>0</v>
      </c>
      <c r="I29" s="595" t="s">
        <v>226</v>
      </c>
      <c r="J29" s="261">
        <f>ROUND((E29+G29),2)*0</f>
        <v>0</v>
      </c>
      <c r="K29" s="261"/>
      <c r="P29" s="215"/>
    </row>
    <row r="30" spans="3:16" x14ac:dyDescent="0.2">
      <c r="C30" s="264" t="s">
        <v>159</v>
      </c>
      <c r="D30" s="1201"/>
      <c r="E30" s="258">
        <v>0</v>
      </c>
      <c r="F30" s="259">
        <v>1</v>
      </c>
      <c r="G30" s="260">
        <f t="shared" si="2"/>
        <v>0</v>
      </c>
      <c r="H30" s="283">
        <v>0</v>
      </c>
      <c r="I30" s="595" t="s">
        <v>227</v>
      </c>
      <c r="J30" s="261">
        <f t="shared" si="1"/>
        <v>0</v>
      </c>
      <c r="K30" s="261"/>
      <c r="P30" s="215"/>
    </row>
    <row r="31" spans="3:16" x14ac:dyDescent="0.2">
      <c r="C31" s="264" t="s">
        <v>160</v>
      </c>
      <c r="D31" s="1201"/>
      <c r="E31" s="258">
        <v>0</v>
      </c>
      <c r="F31" s="259">
        <v>1</v>
      </c>
      <c r="G31" s="260">
        <f t="shared" si="2"/>
        <v>0</v>
      </c>
      <c r="H31" s="283">
        <v>0</v>
      </c>
      <c r="I31" s="595" t="s">
        <v>227</v>
      </c>
      <c r="J31" s="261">
        <f t="shared" si="1"/>
        <v>0</v>
      </c>
      <c r="K31" s="261"/>
      <c r="P31" s="215"/>
    </row>
    <row r="32" spans="3:16" x14ac:dyDescent="0.2">
      <c r="C32" s="264" t="s">
        <v>1439</v>
      </c>
      <c r="D32" s="1201"/>
      <c r="E32" s="258">
        <v>1000</v>
      </c>
      <c r="F32" s="259">
        <v>1</v>
      </c>
      <c r="G32" s="260">
        <f t="shared" si="2"/>
        <v>0</v>
      </c>
      <c r="H32" s="283">
        <v>0</v>
      </c>
      <c r="I32" s="595" t="s">
        <v>228</v>
      </c>
      <c r="J32" s="261">
        <f>ROUND((E32+G32),2)</f>
        <v>1000</v>
      </c>
      <c r="K32" s="261"/>
      <c r="P32" s="215"/>
    </row>
    <row r="33" spans="3:16" x14ac:dyDescent="0.2">
      <c r="C33" s="265" t="s">
        <v>121</v>
      </c>
      <c r="D33" s="1201"/>
      <c r="E33" s="266"/>
      <c r="F33" s="267"/>
      <c r="G33" s="268"/>
      <c r="H33" s="286"/>
      <c r="I33" s="269"/>
      <c r="J33" s="270"/>
      <c r="K33" s="270"/>
      <c r="P33" s="215"/>
    </row>
    <row r="34" spans="3:16" x14ac:dyDescent="0.2">
      <c r="C34" s="271" t="s">
        <v>162</v>
      </c>
      <c r="D34" s="1201"/>
      <c r="E34" s="287">
        <v>0</v>
      </c>
      <c r="F34" s="272">
        <v>7.9999999999999996E-6</v>
      </c>
      <c r="G34" s="260">
        <f t="shared" si="2"/>
        <v>0</v>
      </c>
      <c r="H34" s="283">
        <v>0.2</v>
      </c>
      <c r="I34" s="595" t="s">
        <v>1464</v>
      </c>
      <c r="J34" s="261">
        <f>ROUND((E34+G34),2)</f>
        <v>0</v>
      </c>
      <c r="K34" s="261"/>
      <c r="P34" s="215"/>
    </row>
    <row r="35" spans="3:16" x14ac:dyDescent="0.2">
      <c r="C35" s="273" t="s">
        <v>122</v>
      </c>
      <c r="D35" s="1196" t="s">
        <v>727</v>
      </c>
      <c r="E35" s="266"/>
      <c r="F35" s="267"/>
      <c r="G35" s="268"/>
      <c r="H35" s="286"/>
      <c r="I35" s="269"/>
      <c r="J35" s="270"/>
      <c r="K35" s="270"/>
      <c r="P35" s="215"/>
    </row>
    <row r="36" spans="3:16" ht="12.75" customHeight="1" x14ac:dyDescent="0.2">
      <c r="C36" s="274" t="s">
        <v>715</v>
      </c>
      <c r="D36" s="1197"/>
      <c r="E36" s="275">
        <v>25000</v>
      </c>
      <c r="F36" s="259">
        <v>1</v>
      </c>
      <c r="G36" s="260">
        <f t="shared" ref="G36:G42" si="3">(E36*(1+H36))-E36</f>
        <v>5000</v>
      </c>
      <c r="H36" s="283">
        <v>0.2</v>
      </c>
      <c r="I36" s="595" t="s">
        <v>164</v>
      </c>
      <c r="J36" s="261">
        <f>ROUND((E36+G36),2)*0</f>
        <v>0</v>
      </c>
      <c r="K36" s="261"/>
      <c r="P36" s="215"/>
    </row>
    <row r="37" spans="3:16" x14ac:dyDescent="0.2">
      <c r="C37" s="274" t="s">
        <v>163</v>
      </c>
      <c r="D37" s="1197"/>
      <c r="E37" s="275">
        <v>23000</v>
      </c>
      <c r="F37" s="259">
        <v>1</v>
      </c>
      <c r="G37" s="260">
        <f t="shared" si="3"/>
        <v>4600</v>
      </c>
      <c r="H37" s="259">
        <v>0.2</v>
      </c>
      <c r="I37" s="595" t="s">
        <v>716</v>
      </c>
      <c r="J37" s="261">
        <f>ROUND((E37+G37)*J11/365,2)</f>
        <v>6956.71</v>
      </c>
      <c r="K37" s="261"/>
      <c r="P37" s="215"/>
    </row>
    <row r="38" spans="3:16" x14ac:dyDescent="0.2">
      <c r="C38" s="274" t="s">
        <v>1471</v>
      </c>
      <c r="D38" s="1197"/>
      <c r="E38" s="275">
        <f>'03 - Monthly Asset Follow up'!C19</f>
        <v>701287262.86999977</v>
      </c>
      <c r="F38" s="259">
        <v>1</v>
      </c>
      <c r="G38" s="260">
        <f>J38/6</f>
        <v>504.10999999999996</v>
      </c>
      <c r="H38" s="259">
        <v>0.2</v>
      </c>
      <c r="I38" s="595" t="s">
        <v>716</v>
      </c>
      <c r="J38" s="261">
        <f>ROUND((MIN(E38,250000000)*0.004%*1.2)*J11/365,2)</f>
        <v>3024.66</v>
      </c>
      <c r="K38" s="261"/>
      <c r="P38" s="215"/>
    </row>
    <row r="39" spans="3:16" x14ac:dyDescent="0.2">
      <c r="C39" s="274" t="s">
        <v>1470</v>
      </c>
      <c r="D39" s="1197"/>
      <c r="E39" s="275">
        <f>E38</f>
        <v>701287262.86999977</v>
      </c>
      <c r="F39" s="259">
        <v>1</v>
      </c>
      <c r="G39" s="260">
        <f>J39/6</f>
        <v>454.99666666666667</v>
      </c>
      <c r="H39" s="259">
        <v>0.2</v>
      </c>
      <c r="I39" s="595" t="s">
        <v>716</v>
      </c>
      <c r="J39" s="261">
        <f>ROUND((IF(E39&lt;250000000,0,(E39-250000000)*0.002%)*J11/365)*1.2,2)</f>
        <v>2729.98</v>
      </c>
      <c r="K39" s="261"/>
      <c r="P39" s="215"/>
    </row>
    <row r="40" spans="3:16" x14ac:dyDescent="0.2">
      <c r="C40" s="274" t="s">
        <v>1478</v>
      </c>
      <c r="D40" s="1197"/>
      <c r="E40" s="258">
        <v>5000</v>
      </c>
      <c r="F40" s="259">
        <v>1</v>
      </c>
      <c r="G40" s="260">
        <f t="shared" si="3"/>
        <v>1000</v>
      </c>
      <c r="H40" s="259">
        <v>0.2</v>
      </c>
      <c r="I40" s="595" t="s">
        <v>717</v>
      </c>
      <c r="J40" s="261">
        <v>0</v>
      </c>
      <c r="K40" s="261"/>
    </row>
    <row r="41" spans="3:16" x14ac:dyDescent="0.2">
      <c r="C41" s="274" t="s">
        <v>1479</v>
      </c>
      <c r="D41" s="1197"/>
      <c r="E41" s="258">
        <v>900</v>
      </c>
      <c r="F41" s="259">
        <v>1</v>
      </c>
      <c r="G41" s="260">
        <f t="shared" si="3"/>
        <v>180</v>
      </c>
      <c r="H41" s="259">
        <v>0.2</v>
      </c>
      <c r="I41" s="595" t="s">
        <v>1472</v>
      </c>
      <c r="J41" s="261">
        <v>0</v>
      </c>
      <c r="K41" s="261"/>
    </row>
    <row r="42" spans="3:16" x14ac:dyDescent="0.2">
      <c r="C42" s="274" t="s">
        <v>1480</v>
      </c>
      <c r="D42" s="357"/>
      <c r="E42" s="258">
        <v>10000</v>
      </c>
      <c r="F42" s="259">
        <v>1</v>
      </c>
      <c r="G42" s="260">
        <f t="shared" si="3"/>
        <v>2000</v>
      </c>
      <c r="H42" s="259">
        <v>0.2</v>
      </c>
      <c r="I42" s="595" t="s">
        <v>1473</v>
      </c>
      <c r="J42" s="261">
        <v>0</v>
      </c>
      <c r="K42" s="261"/>
    </row>
    <row r="43" spans="3:16" x14ac:dyDescent="0.2">
      <c r="C43" s="274" t="s">
        <v>1481</v>
      </c>
      <c r="D43" s="357"/>
      <c r="E43" s="258">
        <v>1000</v>
      </c>
      <c r="F43" s="259">
        <v>1</v>
      </c>
      <c r="G43" s="260">
        <f t="shared" ref="G43:G59" si="4">(E43*(1+H43))-E43</f>
        <v>200</v>
      </c>
      <c r="H43" s="259">
        <v>0.2</v>
      </c>
      <c r="I43" s="595" t="s">
        <v>1473</v>
      </c>
      <c r="J43" s="261">
        <v>0</v>
      </c>
      <c r="K43" s="261"/>
    </row>
    <row r="44" spans="3:16" ht="25.5" x14ac:dyDescent="0.2">
      <c r="C44" s="892" t="s">
        <v>1482</v>
      </c>
      <c r="D44" s="357"/>
      <c r="E44" s="258">
        <v>15000</v>
      </c>
      <c r="F44" s="259">
        <v>1</v>
      </c>
      <c r="G44" s="260">
        <f t="shared" si="4"/>
        <v>3000</v>
      </c>
      <c r="H44" s="259">
        <v>0.2</v>
      </c>
      <c r="I44" s="595" t="s">
        <v>1473</v>
      </c>
      <c r="J44" s="261">
        <v>0</v>
      </c>
      <c r="K44" s="261"/>
    </row>
    <row r="45" spans="3:16" ht="38.25" x14ac:dyDescent="0.2">
      <c r="C45" s="892" t="s">
        <v>1483</v>
      </c>
      <c r="D45" s="357"/>
      <c r="E45" s="258">
        <v>0</v>
      </c>
      <c r="F45" s="259">
        <v>1</v>
      </c>
      <c r="G45" s="260">
        <f t="shared" si="4"/>
        <v>0</v>
      </c>
      <c r="H45" s="259">
        <v>0.2</v>
      </c>
      <c r="I45" s="595" t="s">
        <v>1473</v>
      </c>
      <c r="J45" s="261">
        <v>0</v>
      </c>
      <c r="K45" s="261"/>
    </row>
    <row r="46" spans="3:16" ht="51" x14ac:dyDescent="0.2">
      <c r="C46" s="892" t="s">
        <v>1474</v>
      </c>
      <c r="D46" s="357"/>
      <c r="E46" s="258">
        <v>0</v>
      </c>
      <c r="F46" s="259">
        <v>1</v>
      </c>
      <c r="G46" s="260">
        <f t="shared" si="4"/>
        <v>0</v>
      </c>
      <c r="H46" s="259">
        <v>0.2</v>
      </c>
      <c r="I46" s="595" t="s">
        <v>716</v>
      </c>
      <c r="J46" s="261">
        <f>ROUND((E46+G46),2)*$J$11/366</f>
        <v>0</v>
      </c>
      <c r="K46" s="261"/>
    </row>
    <row r="47" spans="3:16" x14ac:dyDescent="0.2">
      <c r="C47" s="265" t="s">
        <v>1487</v>
      </c>
      <c r="D47" s="357"/>
      <c r="E47" s="266"/>
      <c r="F47" s="267"/>
      <c r="G47" s="268"/>
      <c r="H47" s="286"/>
      <c r="I47" s="596"/>
      <c r="J47" s="270"/>
      <c r="K47" s="270"/>
    </row>
    <row r="48" spans="3:16" x14ac:dyDescent="0.2">
      <c r="C48" s="892" t="s">
        <v>1488</v>
      </c>
      <c r="D48" s="357"/>
      <c r="E48" s="258">
        <v>2000</v>
      </c>
      <c r="F48" s="259">
        <v>1</v>
      </c>
      <c r="G48" s="260">
        <f t="shared" ref="G48" si="5">(E48*(1+H48))-E48</f>
        <v>400</v>
      </c>
      <c r="H48" s="259">
        <v>0.2</v>
      </c>
      <c r="I48" s="595" t="s">
        <v>716</v>
      </c>
      <c r="J48" s="261">
        <f>ROUND((E48+G48),2)*$J$11/366</f>
        <v>603.27868852459017</v>
      </c>
      <c r="K48" s="261"/>
    </row>
    <row r="49" spans="3:16" x14ac:dyDescent="0.2">
      <c r="C49" s="265" t="s">
        <v>1489</v>
      </c>
      <c r="D49" s="357"/>
      <c r="E49" s="266"/>
      <c r="F49" s="267"/>
      <c r="G49" s="268"/>
      <c r="H49" s="286"/>
      <c r="I49" s="596"/>
      <c r="J49" s="270"/>
      <c r="K49" s="270"/>
    </row>
    <row r="50" spans="3:16" x14ac:dyDescent="0.2">
      <c r="C50" s="892" t="s">
        <v>1491</v>
      </c>
      <c r="D50" s="357"/>
      <c r="E50" s="258">
        <v>350</v>
      </c>
      <c r="F50" s="259">
        <v>1</v>
      </c>
      <c r="G50" s="260">
        <f t="shared" ref="G50:G53" si="6">(E50*(1+H50))-E50</f>
        <v>70</v>
      </c>
      <c r="H50" s="259">
        <v>0.2</v>
      </c>
      <c r="I50" s="595" t="s">
        <v>716</v>
      </c>
      <c r="J50" s="261">
        <f>ROUND((E50+G50),2)</f>
        <v>420</v>
      </c>
      <c r="K50" s="261"/>
    </row>
    <row r="51" spans="3:16" x14ac:dyDescent="0.2">
      <c r="C51" s="892" t="s">
        <v>1492</v>
      </c>
      <c r="D51" s="357"/>
      <c r="E51" s="258">
        <v>250</v>
      </c>
      <c r="F51" s="259">
        <v>1</v>
      </c>
      <c r="G51" s="260">
        <f t="shared" si="6"/>
        <v>50</v>
      </c>
      <c r="H51" s="259">
        <v>0.2</v>
      </c>
      <c r="I51" s="595" t="s">
        <v>716</v>
      </c>
      <c r="J51" s="261">
        <f t="shared" ref="J51:J53" si="7">ROUND((E51+G51),2)</f>
        <v>300</v>
      </c>
      <c r="K51" s="261"/>
    </row>
    <row r="52" spans="3:16" x14ac:dyDescent="0.2">
      <c r="C52" s="892" t="s">
        <v>1493</v>
      </c>
      <c r="D52" s="357"/>
      <c r="E52" s="258">
        <v>350</v>
      </c>
      <c r="F52" s="259">
        <v>1</v>
      </c>
      <c r="G52" s="260">
        <f t="shared" si="6"/>
        <v>70</v>
      </c>
      <c r="H52" s="259">
        <v>0.2</v>
      </c>
      <c r="I52" s="595" t="s">
        <v>716</v>
      </c>
      <c r="J52" s="261">
        <f t="shared" si="7"/>
        <v>420</v>
      </c>
      <c r="K52" s="261"/>
    </row>
    <row r="53" spans="3:16" x14ac:dyDescent="0.2">
      <c r="C53" s="892" t="s">
        <v>1494</v>
      </c>
      <c r="D53" s="357"/>
      <c r="E53" s="258">
        <v>250</v>
      </c>
      <c r="F53" s="259">
        <v>1</v>
      </c>
      <c r="G53" s="260">
        <f t="shared" si="6"/>
        <v>50</v>
      </c>
      <c r="H53" s="259">
        <v>0.2</v>
      </c>
      <c r="I53" s="595" t="s">
        <v>716</v>
      </c>
      <c r="J53" s="261">
        <f t="shared" si="7"/>
        <v>300</v>
      </c>
      <c r="K53" s="261"/>
    </row>
    <row r="54" spans="3:16" x14ac:dyDescent="0.2">
      <c r="C54" s="265" t="s">
        <v>1490</v>
      </c>
      <c r="D54" s="357"/>
      <c r="E54" s="258"/>
      <c r="F54" s="259"/>
      <c r="G54" s="893"/>
      <c r="H54" s="259"/>
      <c r="I54" s="595"/>
      <c r="J54" s="261"/>
      <c r="K54" s="261"/>
    </row>
    <row r="55" spans="3:16" x14ac:dyDescent="0.2">
      <c r="C55" s="892" t="s">
        <v>1488</v>
      </c>
      <c r="D55" s="357"/>
      <c r="E55" s="258">
        <v>1500</v>
      </c>
      <c r="F55" s="259">
        <v>1</v>
      </c>
      <c r="G55" s="260">
        <f t="shared" ref="G55" si="8">(E55*(1+H55))-E55</f>
        <v>300</v>
      </c>
      <c r="H55" s="259">
        <v>0.2</v>
      </c>
      <c r="I55" s="595" t="s">
        <v>716</v>
      </c>
      <c r="J55" s="261">
        <f>ROUND((E55+G55),2)*J11/366</f>
        <v>452.4590163934426</v>
      </c>
      <c r="K55" s="261"/>
    </row>
    <row r="56" spans="3:16" x14ac:dyDescent="0.2">
      <c r="C56" s="265" t="s">
        <v>707</v>
      </c>
      <c r="D56" s="1202" t="s">
        <v>727</v>
      </c>
      <c r="E56" s="266"/>
      <c r="F56" s="267"/>
      <c r="G56" s="268"/>
      <c r="H56" s="286"/>
      <c r="I56" s="596"/>
      <c r="J56" s="270"/>
      <c r="K56" s="270"/>
      <c r="P56" s="215"/>
    </row>
    <row r="57" spans="3:16" x14ac:dyDescent="0.2">
      <c r="C57" s="271" t="s">
        <v>1438</v>
      </c>
      <c r="D57" s="1203"/>
      <c r="E57" s="258">
        <v>1500</v>
      </c>
      <c r="F57" s="272">
        <v>7.9999999999999996E-6</v>
      </c>
      <c r="G57" s="260">
        <f t="shared" si="4"/>
        <v>300</v>
      </c>
      <c r="H57" s="283">
        <v>0.2</v>
      </c>
      <c r="I57" s="595" t="s">
        <v>1436</v>
      </c>
      <c r="J57" s="261">
        <v>0</v>
      </c>
      <c r="K57" s="261"/>
      <c r="P57" s="215"/>
    </row>
    <row r="58" spans="3:16" x14ac:dyDescent="0.2">
      <c r="C58" s="271" t="s">
        <v>1435</v>
      </c>
      <c r="D58" s="1203"/>
      <c r="E58" s="258">
        <v>1000</v>
      </c>
      <c r="F58" s="272">
        <v>1</v>
      </c>
      <c r="G58" s="260">
        <f t="shared" si="4"/>
        <v>200</v>
      </c>
      <c r="H58" s="283">
        <v>0.2</v>
      </c>
      <c r="I58" s="595" t="s">
        <v>716</v>
      </c>
      <c r="J58" s="261">
        <f>ROUND((E58+G58),2)*J11/366</f>
        <v>301.63934426229508</v>
      </c>
      <c r="K58" s="261"/>
      <c r="P58" s="215"/>
    </row>
    <row r="59" spans="3:16" x14ac:dyDescent="0.2">
      <c r="C59" s="271" t="s">
        <v>1476</v>
      </c>
      <c r="D59" s="1204"/>
      <c r="E59" s="258">
        <v>1000</v>
      </c>
      <c r="F59" s="272">
        <v>1</v>
      </c>
      <c r="G59" s="260">
        <f t="shared" si="4"/>
        <v>200</v>
      </c>
      <c r="H59" s="283">
        <v>0.2</v>
      </c>
      <c r="I59" s="595" t="s">
        <v>1475</v>
      </c>
      <c r="J59" s="261">
        <f>ROUND((E59+G59),2)*0</f>
        <v>0</v>
      </c>
      <c r="K59" s="261"/>
      <c r="P59" s="215"/>
    </row>
    <row r="60" spans="3:16" x14ac:dyDescent="0.2">
      <c r="C60" s="273" t="s">
        <v>166</v>
      </c>
      <c r="D60" s="1196" t="s">
        <v>250</v>
      </c>
      <c r="E60" s="266"/>
      <c r="F60" s="267"/>
      <c r="G60" s="268"/>
      <c r="H60" s="286"/>
      <c r="I60" s="596"/>
      <c r="J60" s="270"/>
      <c r="K60" s="270"/>
    </row>
    <row r="61" spans="3:16" ht="41.45" customHeight="1" x14ac:dyDescent="0.2">
      <c r="C61" s="892" t="s">
        <v>1484</v>
      </c>
      <c r="D61" s="1197"/>
      <c r="E61" s="275" cm="1">
        <f t="array" ref="E61">F61*AVERAGE('08 - Delinquent Home Loans Stat'!L12:L14+'08 - Delinquent Home Loans Stat'!M12:M14)/4</f>
        <v>1861.3703549999998</v>
      </c>
      <c r="F61" s="259">
        <v>2E-3</v>
      </c>
      <c r="G61" s="260">
        <f>IFERROR(E61*F61/12*H61,0)</f>
        <v>0</v>
      </c>
      <c r="H61" s="283">
        <v>0</v>
      </c>
      <c r="I61" s="595" t="s">
        <v>716</v>
      </c>
      <c r="J61" s="852">
        <f>IFERROR(ROUND((E61+G61),2),0)</f>
        <v>1861.37</v>
      </c>
      <c r="K61" s="261"/>
    </row>
    <row r="62" spans="3:16" ht="45" customHeight="1" x14ac:dyDescent="0.2">
      <c r="C62" s="892" t="s">
        <v>1485</v>
      </c>
      <c r="D62" s="1197"/>
      <c r="E62" s="275" cm="1">
        <f t="array" ref="E62">F62*AVERAGE('08 - Delinquent Home Loans Stat'!N12:N14+'08 - Delinquent Home Loans Stat'!O12:O14)/4</f>
        <v>0</v>
      </c>
      <c r="F62" s="259">
        <v>2E-3</v>
      </c>
      <c r="G62" s="260">
        <f>IFERROR(E62*F62*H62,0)</f>
        <v>0</v>
      </c>
      <c r="H62" s="283">
        <v>0.2</v>
      </c>
      <c r="I62" s="595" t="s">
        <v>716</v>
      </c>
      <c r="J62" s="852">
        <f>IFERROR(ROUND((E62+G62),2),0)</f>
        <v>0</v>
      </c>
      <c r="K62" s="261"/>
    </row>
    <row r="63" spans="3:16" x14ac:dyDescent="0.2">
      <c r="C63" s="273" t="s">
        <v>1441</v>
      </c>
      <c r="D63" s="1196" t="s">
        <v>1442</v>
      </c>
      <c r="E63" s="266"/>
      <c r="F63" s="267"/>
      <c r="G63" s="268"/>
      <c r="H63" s="286"/>
      <c r="I63" s="596"/>
      <c r="J63" s="270"/>
      <c r="K63" s="270"/>
    </row>
    <row r="64" spans="3:16" x14ac:dyDescent="0.2">
      <c r="C64" s="274" t="s">
        <v>1444</v>
      </c>
      <c r="D64" s="1197"/>
      <c r="E64" s="275">
        <v>2500</v>
      </c>
      <c r="F64" s="283">
        <v>1</v>
      </c>
      <c r="G64" s="260">
        <f>E64*F64/12*H64</f>
        <v>41.666666666666671</v>
      </c>
      <c r="H64" s="259">
        <v>0.2</v>
      </c>
      <c r="I64" s="595" t="s">
        <v>229</v>
      </c>
      <c r="J64" s="852">
        <f>ROUND((E64+G64),2)*0</f>
        <v>0</v>
      </c>
      <c r="K64" s="261"/>
    </row>
    <row r="65" spans="3:13" x14ac:dyDescent="0.2">
      <c r="C65" s="274" t="s">
        <v>1443</v>
      </c>
      <c r="D65" s="1197"/>
      <c r="E65" s="275">
        <v>6606</v>
      </c>
      <c r="F65" s="283">
        <v>1</v>
      </c>
      <c r="G65" s="260">
        <f>E65*F65*H65</f>
        <v>1321.2</v>
      </c>
      <c r="H65" s="259">
        <v>0.2</v>
      </c>
      <c r="I65" s="595" t="s">
        <v>229</v>
      </c>
      <c r="J65" s="852">
        <f>ROUND((E65+G65),2)*0</f>
        <v>0</v>
      </c>
      <c r="K65" s="261"/>
    </row>
    <row r="66" spans="3:13" x14ac:dyDescent="0.2">
      <c r="C66" s="274" t="s">
        <v>1495</v>
      </c>
      <c r="D66" s="1205"/>
      <c r="E66" s="275">
        <v>275</v>
      </c>
      <c r="F66" s="283">
        <v>1</v>
      </c>
      <c r="G66" s="260">
        <f>E66*F66*H66</f>
        <v>55</v>
      </c>
      <c r="H66" s="259">
        <v>0.2</v>
      </c>
      <c r="I66" s="595" t="s">
        <v>229</v>
      </c>
      <c r="J66" s="852">
        <f>ROUND((E66+G66),2)*0</f>
        <v>0</v>
      </c>
      <c r="K66" s="261"/>
    </row>
    <row r="67" spans="3:13" x14ac:dyDescent="0.2">
      <c r="C67" s="273" t="s">
        <v>1496</v>
      </c>
      <c r="D67" s="1196" t="s">
        <v>1496</v>
      </c>
      <c r="E67" s="266"/>
      <c r="F67" s="267"/>
      <c r="G67" s="268"/>
      <c r="H67" s="286"/>
      <c r="I67" s="596"/>
      <c r="J67" s="270"/>
      <c r="K67" s="270"/>
    </row>
    <row r="68" spans="3:13" x14ac:dyDescent="0.2">
      <c r="C68" s="274" t="s">
        <v>1497</v>
      </c>
      <c r="D68" s="1205"/>
      <c r="E68" s="275">
        <v>20000</v>
      </c>
      <c r="F68" s="283">
        <v>0</v>
      </c>
      <c r="G68" s="260">
        <f>E68*F68*H68</f>
        <v>0</v>
      </c>
      <c r="H68" s="259">
        <v>0.2</v>
      </c>
      <c r="I68" s="595" t="s">
        <v>229</v>
      </c>
      <c r="J68" s="852">
        <f>ROUND((E68+G68),2)*F68</f>
        <v>0</v>
      </c>
      <c r="K68" s="261"/>
    </row>
    <row r="69" spans="3:13" x14ac:dyDescent="0.2">
      <c r="C69" s="273" t="s">
        <v>688</v>
      </c>
      <c r="D69" s="1196" t="s">
        <v>1440</v>
      </c>
      <c r="E69" s="266"/>
      <c r="F69" s="267"/>
      <c r="G69" s="268"/>
      <c r="H69" s="286"/>
      <c r="I69" s="596"/>
      <c r="J69" s="270"/>
      <c r="K69" s="270"/>
    </row>
    <row r="70" spans="3:13" x14ac:dyDescent="0.2">
      <c r="C70" s="274" t="s">
        <v>1486</v>
      </c>
      <c r="D70" s="1197"/>
      <c r="E70" s="275">
        <v>53500</v>
      </c>
      <c r="F70" s="259">
        <v>0</v>
      </c>
      <c r="G70" s="260">
        <f>E70*F70*H70</f>
        <v>0</v>
      </c>
      <c r="H70" s="259">
        <v>0.2</v>
      </c>
      <c r="I70" s="595" t="s">
        <v>229</v>
      </c>
      <c r="J70" s="261">
        <v>0</v>
      </c>
      <c r="K70" s="261"/>
    </row>
    <row r="71" spans="3:13" ht="12.6" customHeight="1" x14ac:dyDescent="0.2">
      <c r="C71" s="278" t="s">
        <v>123</v>
      </c>
      <c r="D71" s="1196" t="s">
        <v>168</v>
      </c>
      <c r="E71" s="266"/>
      <c r="F71" s="267"/>
      <c r="G71" s="276"/>
      <c r="H71" s="286"/>
      <c r="I71" s="596"/>
      <c r="J71" s="270"/>
      <c r="K71" s="270"/>
    </row>
    <row r="72" spans="3:13" x14ac:dyDescent="0.2">
      <c r="C72" s="264" t="s">
        <v>165</v>
      </c>
      <c r="D72" s="1197"/>
      <c r="E72" s="277">
        <v>1500</v>
      </c>
      <c r="F72" s="259">
        <v>1</v>
      </c>
      <c r="G72" s="260">
        <f>(E72*(1+H72))-E72</f>
        <v>300</v>
      </c>
      <c r="H72" s="259">
        <v>0.2</v>
      </c>
      <c r="I72" s="595" t="s">
        <v>229</v>
      </c>
      <c r="J72" s="261">
        <f>ROUND((E72+G72),2)*0</f>
        <v>0</v>
      </c>
      <c r="K72" s="261"/>
    </row>
    <row r="73" spans="3:13" ht="13.5" thickBot="1" x14ac:dyDescent="0.25">
      <c r="C73" s="285" t="s">
        <v>163</v>
      </c>
      <c r="D73" s="1197"/>
      <c r="E73" s="277">
        <v>7500</v>
      </c>
      <c r="F73" s="259">
        <v>1</v>
      </c>
      <c r="G73" s="260">
        <f>(E73*(1+H73))-E73</f>
        <v>1500</v>
      </c>
      <c r="H73" s="259">
        <v>0.2</v>
      </c>
      <c r="I73" s="595" t="s">
        <v>229</v>
      </c>
      <c r="J73" s="261">
        <f>ROUND((E73+G73),2)*0</f>
        <v>0</v>
      </c>
      <c r="K73" s="261"/>
    </row>
    <row r="74" spans="3:13" ht="15.75" thickBot="1" x14ac:dyDescent="0.25">
      <c r="C74" s="597" t="s">
        <v>124</v>
      </c>
      <c r="D74" s="279"/>
      <c r="E74" s="280"/>
      <c r="F74" s="281"/>
      <c r="G74" s="281"/>
      <c r="H74" s="281"/>
      <c r="I74" s="281"/>
      <c r="J74" s="282">
        <f>SUM(J17:J73)</f>
        <v>33493.387049180325</v>
      </c>
      <c r="K74" s="282"/>
    </row>
    <row r="75" spans="3:13" x14ac:dyDescent="0.2">
      <c r="M75" s="3"/>
    </row>
    <row r="76" spans="3:13" x14ac:dyDescent="0.2">
      <c r="E76" s="381"/>
      <c r="F76" s="382"/>
      <c r="M76" s="3"/>
    </row>
    <row r="80" spans="3:13" x14ac:dyDescent="0.2">
      <c r="I80" s="375"/>
    </row>
    <row r="81" spans="9:9" x14ac:dyDescent="0.2">
      <c r="I81" s="375"/>
    </row>
  </sheetData>
  <mergeCells count="10">
    <mergeCell ref="I8:J8"/>
    <mergeCell ref="D71:D73"/>
    <mergeCell ref="C13:K13"/>
    <mergeCell ref="D17:D34"/>
    <mergeCell ref="D35:D41"/>
    <mergeCell ref="D60:D62"/>
    <mergeCell ref="D69:D70"/>
    <mergeCell ref="D56:D59"/>
    <mergeCell ref="D63:D66"/>
    <mergeCell ref="D67:D68"/>
  </mergeCells>
  <phoneticPr fontId="0" type="noConversion"/>
  <pageMargins left="0.78740157499999996" right="0.78740157499999996" top="0.984251969" bottom="0.984251969" header="0.4921259845" footer="0.4921259845"/>
  <pageSetup paperSize="9" scale="26"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N95"/>
  <sheetViews>
    <sheetView showGridLines="0" view="pageBreakPreview" topLeftCell="A32" zoomScale="85" zoomScaleNormal="85" zoomScaleSheetLayoutView="85" workbookViewId="0">
      <selection activeCell="L54" sqref="L54"/>
    </sheetView>
  </sheetViews>
  <sheetFormatPr defaultColWidth="11.42578125" defaultRowHeight="15" outlineLevelRow="1" x14ac:dyDescent="0.25"/>
  <cols>
    <col min="1" max="1" width="1.85546875" style="105" customWidth="1"/>
    <col min="2" max="2" width="2.85546875" style="105" customWidth="1"/>
    <col min="3" max="3" width="5" style="105" customWidth="1"/>
    <col min="4" max="4" width="7.42578125" style="105" customWidth="1"/>
    <col min="5" max="5" width="8.140625" style="105" customWidth="1"/>
    <col min="6" max="6" width="11.42578125" style="105"/>
    <col min="7" max="7" width="34.42578125" style="105" customWidth="1"/>
    <col min="8" max="8" width="57.42578125" style="105" customWidth="1"/>
    <col min="9" max="9" width="19.5703125" style="105" customWidth="1"/>
    <col min="10" max="10" width="25.5703125" style="105" customWidth="1"/>
    <col min="11" max="11" width="18" style="105" customWidth="1"/>
    <col min="12" max="12" width="20" style="105" customWidth="1"/>
    <col min="13" max="14" width="19" style="105" bestFit="1" customWidth="1"/>
    <col min="15" max="15" width="28.85546875" style="105" customWidth="1"/>
    <col min="16" max="16" width="11.42578125" style="105"/>
    <col min="17" max="17" width="4.5703125" style="105" customWidth="1"/>
    <col min="18" max="16384" width="11.42578125" style="105"/>
  </cols>
  <sheetData>
    <row r="1" spans="1:13" x14ac:dyDescent="0.25">
      <c r="A1" s="104"/>
      <c r="B1" s="104"/>
      <c r="C1" s="104"/>
      <c r="D1" s="104"/>
      <c r="E1" s="104"/>
      <c r="F1" s="104"/>
      <c r="G1" s="104"/>
      <c r="H1" s="104"/>
      <c r="I1" s="104"/>
      <c r="J1" s="104"/>
      <c r="K1" s="104"/>
      <c r="L1" s="104"/>
      <c r="M1" s="104"/>
    </row>
    <row r="2" spans="1:13" x14ac:dyDescent="0.25">
      <c r="A2" s="106"/>
      <c r="B2" s="104"/>
      <c r="C2" s="106"/>
      <c r="D2" s="106"/>
      <c r="E2" s="106"/>
      <c r="F2" s="106"/>
      <c r="G2" s="106"/>
      <c r="H2" s="106"/>
      <c r="I2" s="106"/>
      <c r="J2" s="106"/>
      <c r="K2" s="106"/>
      <c r="L2" s="106"/>
      <c r="M2" s="106"/>
    </row>
    <row r="3" spans="1:13" x14ac:dyDescent="0.25">
      <c r="A3" s="106"/>
      <c r="B3" s="104"/>
      <c r="C3" s="106"/>
      <c r="D3" s="106"/>
      <c r="E3" s="106"/>
      <c r="F3" s="1105"/>
      <c r="G3" s="1105"/>
      <c r="H3" s="1105"/>
      <c r="I3" s="106"/>
      <c r="J3" s="349"/>
      <c r="K3" s="812" t="s">
        <v>655</v>
      </c>
      <c r="L3" s="812">
        <v>45397</v>
      </c>
    </row>
    <row r="4" spans="1:13" x14ac:dyDescent="0.25">
      <c r="A4" s="106"/>
      <c r="B4" s="104"/>
      <c r="C4" s="106"/>
      <c r="D4" s="106"/>
      <c r="E4" s="106"/>
      <c r="F4" s="1105"/>
      <c r="G4" s="1105"/>
      <c r="H4" s="1105"/>
      <c r="I4" s="106"/>
      <c r="J4" s="349"/>
      <c r="K4" s="812" t="s">
        <v>94</v>
      </c>
      <c r="L4" s="812">
        <v>45401</v>
      </c>
    </row>
    <row r="5" spans="1:13" x14ac:dyDescent="0.25">
      <c r="A5" s="106"/>
      <c r="B5" s="104"/>
      <c r="C5" s="106"/>
      <c r="D5" s="106"/>
      <c r="E5" s="106"/>
      <c r="F5" s="1105"/>
      <c r="G5" s="1105"/>
      <c r="H5" s="1105"/>
      <c r="I5" s="106"/>
      <c r="J5" s="349"/>
      <c r="K5" s="812" t="s">
        <v>87</v>
      </c>
      <c r="L5" s="812">
        <v>45407</v>
      </c>
    </row>
    <row r="6" spans="1:13" x14ac:dyDescent="0.25">
      <c r="A6" s="106"/>
      <c r="B6" s="104"/>
      <c r="C6" s="106"/>
      <c r="D6" s="106"/>
      <c r="E6" s="106"/>
      <c r="F6" s="1105"/>
      <c r="G6" s="1105"/>
      <c r="H6" s="1105"/>
      <c r="I6" s="106"/>
      <c r="J6" s="106"/>
      <c r="K6" s="107"/>
      <c r="L6" s="108"/>
      <c r="M6" s="106"/>
    </row>
    <row r="7" spans="1:13" x14ac:dyDescent="0.25">
      <c r="A7" s="106"/>
      <c r="B7" s="104"/>
      <c r="C7" s="106"/>
      <c r="D7" s="106"/>
      <c r="E7" s="106"/>
      <c r="F7" s="106"/>
      <c r="G7" s="106"/>
      <c r="H7" s="106"/>
      <c r="I7" s="106"/>
      <c r="J7" s="107"/>
      <c r="K7" s="107"/>
      <c r="L7" s="108"/>
      <c r="M7" s="106"/>
    </row>
    <row r="8" spans="1:13" x14ac:dyDescent="0.25">
      <c r="A8" s="106"/>
      <c r="B8" s="104"/>
      <c r="C8" s="106"/>
      <c r="D8" s="106"/>
      <c r="E8" s="106"/>
      <c r="F8" s="106"/>
      <c r="G8" s="106"/>
      <c r="H8" s="106"/>
      <c r="I8" s="106"/>
      <c r="J8" s="107"/>
      <c r="K8" s="107"/>
      <c r="L8" s="108"/>
      <c r="M8" s="106"/>
    </row>
    <row r="9" spans="1:13" ht="15.75" x14ac:dyDescent="0.25">
      <c r="A9" s="106"/>
      <c r="B9" s="581" t="s">
        <v>217</v>
      </c>
      <c r="C9" s="582"/>
      <c r="D9" s="583"/>
      <c r="E9" s="583"/>
      <c r="F9" s="583"/>
      <c r="G9" s="583"/>
      <c r="H9" s="583"/>
      <c r="I9" s="626"/>
      <c r="J9" s="627"/>
      <c r="K9" s="627"/>
      <c r="L9" s="628"/>
      <c r="M9" s="629"/>
    </row>
    <row r="10" spans="1:13" x14ac:dyDescent="0.25">
      <c r="A10" s="106"/>
      <c r="B10" s="106"/>
      <c r="C10" s="106"/>
      <c r="D10" s="106"/>
      <c r="E10" s="106"/>
      <c r="F10" s="106"/>
      <c r="G10" s="106"/>
      <c r="H10" s="106"/>
      <c r="I10" s="106"/>
      <c r="J10" s="107"/>
      <c r="K10" s="107"/>
      <c r="L10" s="108"/>
      <c r="M10" s="106"/>
    </row>
    <row r="11" spans="1:13" ht="51.75" x14ac:dyDescent="0.25">
      <c r="A11" s="106"/>
      <c r="B11" s="106"/>
      <c r="C11" s="106"/>
      <c r="D11" s="106"/>
      <c r="E11" s="106"/>
      <c r="F11" s="106"/>
      <c r="G11" s="106"/>
      <c r="H11" s="856" t="s">
        <v>1451</v>
      </c>
      <c r="I11" s="996">
        <f>SUM('04 - Monthly Collection'!E13:F15)</f>
        <v>14623344.609999992</v>
      </c>
      <c r="J11" s="107"/>
      <c r="K11" s="107"/>
      <c r="L11" s="108"/>
      <c r="M11" s="106"/>
    </row>
    <row r="12" spans="1:13" ht="41.25" customHeight="1" x14ac:dyDescent="0.25">
      <c r="A12" s="106"/>
      <c r="B12" s="106"/>
      <c r="C12" s="106"/>
      <c r="D12" s="106"/>
      <c r="E12" s="106"/>
      <c r="F12" s="106"/>
      <c r="G12" s="106"/>
      <c r="H12" s="856" t="s">
        <v>1452</v>
      </c>
      <c r="I12" s="996">
        <f>SUM('04 - Monthly Collection'!G13:G15)</f>
        <v>3727455.3000000007</v>
      </c>
      <c r="J12" s="107"/>
      <c r="K12" s="107"/>
      <c r="L12" s="108"/>
      <c r="M12" s="106"/>
    </row>
    <row r="13" spans="1:13" ht="51.75" x14ac:dyDescent="0.25">
      <c r="A13" s="106"/>
      <c r="B13" s="106"/>
      <c r="C13" s="106"/>
      <c r="D13" s="106"/>
      <c r="E13" s="106"/>
      <c r="F13" s="106"/>
      <c r="G13" s="106"/>
      <c r="H13" s="856" t="s">
        <v>1461</v>
      </c>
      <c r="I13" s="996">
        <v>0</v>
      </c>
      <c r="J13" s="107"/>
      <c r="K13" s="107"/>
      <c r="L13" s="108"/>
      <c r="M13" s="106"/>
    </row>
    <row r="14" spans="1:13" ht="26.25" x14ac:dyDescent="0.25">
      <c r="A14" s="106"/>
      <c r="B14" s="106"/>
      <c r="C14" s="106"/>
      <c r="D14" s="106"/>
      <c r="E14" s="106"/>
      <c r="F14" s="106"/>
      <c r="G14" s="106"/>
      <c r="H14" s="856" t="s">
        <v>1462</v>
      </c>
      <c r="I14" s="996"/>
      <c r="J14" s="912"/>
      <c r="K14" s="107"/>
      <c r="L14" s="108"/>
      <c r="M14" s="106"/>
    </row>
    <row r="15" spans="1:13" x14ac:dyDescent="0.25">
      <c r="A15" s="106"/>
      <c r="B15" s="106"/>
      <c r="C15" s="106"/>
      <c r="D15" s="106"/>
      <c r="E15" s="106"/>
      <c r="H15" s="857" t="s">
        <v>1449</v>
      </c>
      <c r="I15" s="919">
        <f>SUM(I11:I14)</f>
        <v>18350799.909999993</v>
      </c>
      <c r="K15" s="107"/>
      <c r="L15" s="108"/>
      <c r="M15" s="106"/>
    </row>
    <row r="16" spans="1:13" x14ac:dyDescent="0.25">
      <c r="A16" s="106"/>
      <c r="B16" s="106"/>
      <c r="C16" s="106"/>
      <c r="D16" s="106"/>
      <c r="E16" s="106"/>
      <c r="F16" s="106"/>
      <c r="G16" s="106"/>
      <c r="H16" s="857" t="s">
        <v>1450</v>
      </c>
      <c r="I16" s="919">
        <f>I53+I50</f>
        <v>3515.46</v>
      </c>
      <c r="J16" s="107"/>
      <c r="K16" s="107"/>
      <c r="L16" s="108"/>
      <c r="M16" s="106"/>
    </row>
    <row r="17" spans="1:14" x14ac:dyDescent="0.25">
      <c r="A17" s="106"/>
      <c r="B17" s="106"/>
      <c r="C17" s="106"/>
      <c r="D17" s="106"/>
      <c r="E17" s="106"/>
      <c r="H17" s="853" t="s">
        <v>779</v>
      </c>
      <c r="I17" s="859">
        <f>I15+I16</f>
        <v>18354315.369999994</v>
      </c>
      <c r="J17" s="912"/>
      <c r="K17" s="912"/>
      <c r="L17" s="108"/>
      <c r="M17" s="106"/>
    </row>
    <row r="18" spans="1:14" x14ac:dyDescent="0.25">
      <c r="A18" s="106"/>
      <c r="B18" s="106"/>
      <c r="C18" s="106"/>
      <c r="D18" s="106"/>
      <c r="E18" s="106"/>
      <c r="F18" s="106"/>
      <c r="G18" s="106"/>
      <c r="H18" s="106"/>
      <c r="I18" s="106"/>
      <c r="J18" s="107"/>
      <c r="K18" s="107"/>
      <c r="L18" s="108"/>
      <c r="M18" s="106"/>
    </row>
    <row r="19" spans="1:14" ht="15.75" thickBot="1" x14ac:dyDescent="0.3">
      <c r="A19" s="104"/>
      <c r="B19" s="104"/>
      <c r="C19" s="104"/>
      <c r="D19" s="104"/>
      <c r="E19" s="104"/>
      <c r="F19" s="104"/>
      <c r="G19" s="104"/>
      <c r="H19" s="104"/>
      <c r="I19" s="104"/>
      <c r="J19" s="104"/>
      <c r="K19" s="104"/>
      <c r="L19" s="109"/>
      <c r="M19" s="104"/>
    </row>
    <row r="20" spans="1:14" ht="15.75" customHeight="1" x14ac:dyDescent="0.25">
      <c r="A20" s="104"/>
      <c r="B20" s="188"/>
      <c r="C20" s="1209" t="s">
        <v>773</v>
      </c>
      <c r="D20" s="1209"/>
      <c r="E20" s="1209"/>
      <c r="F20" s="1209"/>
      <c r="G20" s="1209"/>
      <c r="H20" s="1209"/>
      <c r="I20" s="1210"/>
      <c r="J20" s="206"/>
      <c r="K20" s="206"/>
      <c r="L20" s="206"/>
      <c r="M20" s="201"/>
    </row>
    <row r="21" spans="1:14" x14ac:dyDescent="0.25">
      <c r="A21" s="110"/>
      <c r="B21" s="189"/>
      <c r="C21" s="1211"/>
      <c r="D21" s="1211"/>
      <c r="E21" s="1211"/>
      <c r="F21" s="1211"/>
      <c r="G21" s="1211"/>
      <c r="H21" s="1211"/>
      <c r="I21" s="1212"/>
      <c r="J21" s="111" t="s">
        <v>8</v>
      </c>
      <c r="K21" s="111"/>
      <c r="L21" s="111" t="s">
        <v>236</v>
      </c>
      <c r="M21" s="202"/>
    </row>
    <row r="22" spans="1:14" x14ac:dyDescent="0.25">
      <c r="A22" s="104"/>
      <c r="B22" s="190"/>
      <c r="C22" s="193"/>
      <c r="D22" s="1213" t="s">
        <v>100</v>
      </c>
      <c r="E22" s="1214"/>
      <c r="F22" s="1214"/>
      <c r="G22" s="1214"/>
      <c r="H22" s="1215"/>
      <c r="I22" s="649" t="s">
        <v>101</v>
      </c>
      <c r="J22" s="649" t="s">
        <v>102</v>
      </c>
      <c r="K22" s="649" t="s">
        <v>118</v>
      </c>
      <c r="L22" s="854">
        <v>0</v>
      </c>
      <c r="M22" s="203"/>
    </row>
    <row r="23" spans="1:14" x14ac:dyDescent="0.25">
      <c r="A23" s="104"/>
      <c r="B23" s="190"/>
      <c r="C23" s="193"/>
      <c r="D23" s="113"/>
      <c r="E23" s="114" t="s">
        <v>9</v>
      </c>
      <c r="F23" s="1178" t="s">
        <v>779</v>
      </c>
      <c r="G23" s="1179"/>
      <c r="H23" s="1180"/>
      <c r="I23" s="183">
        <f>I17</f>
        <v>18354315.369999994</v>
      </c>
      <c r="J23" s="183">
        <f>I23</f>
        <v>18354315.369999994</v>
      </c>
      <c r="K23" s="847"/>
      <c r="L23" s="184">
        <f>L22+J23</f>
        <v>18354315.369999994</v>
      </c>
      <c r="M23" s="203"/>
      <c r="N23" s="167"/>
    </row>
    <row r="24" spans="1:14" x14ac:dyDescent="0.25">
      <c r="A24" s="104"/>
      <c r="B24" s="190"/>
      <c r="C24" s="193"/>
      <c r="D24" s="115" t="s">
        <v>10</v>
      </c>
      <c r="E24" s="116" t="s">
        <v>18</v>
      </c>
      <c r="F24" s="1186" t="s">
        <v>775</v>
      </c>
      <c r="G24" s="1187"/>
      <c r="H24" s="1188"/>
      <c r="I24" s="185">
        <f>'10 -Principal Deficiency Ledger'!E12</f>
        <v>0</v>
      </c>
      <c r="J24" s="185">
        <f>IF(I24=0,0,MIN(I24,L23))</f>
        <v>0</v>
      </c>
      <c r="K24" s="185">
        <f>MAX(I24-J24,0)</f>
        <v>0</v>
      </c>
      <c r="L24" s="184">
        <f>L23-J24</f>
        <v>18354315.369999994</v>
      </c>
      <c r="M24" s="204"/>
    </row>
    <row r="25" spans="1:14" ht="31.5" customHeight="1" x14ac:dyDescent="0.25">
      <c r="A25" s="104"/>
      <c r="B25" s="190"/>
      <c r="C25" s="193"/>
      <c r="D25" s="115" t="s">
        <v>11</v>
      </c>
      <c r="E25" s="116" t="s">
        <v>18</v>
      </c>
      <c r="F25" s="1189" t="s">
        <v>776</v>
      </c>
      <c r="G25" s="1190"/>
      <c r="H25" s="1191"/>
      <c r="I25" s="185">
        <f>'11 - Notes Follow-up'!F24</f>
        <v>18354315.369999994</v>
      </c>
      <c r="J25" s="185">
        <f t="shared" ref="J25:J27" si="0">IF(I25=0,0,MIN(I25,L24))</f>
        <v>18354315.369999994</v>
      </c>
      <c r="K25" s="185">
        <f t="shared" ref="K25:K27" si="1">MAX(I25-J25,0)</f>
        <v>0</v>
      </c>
      <c r="L25" s="184">
        <f>L24-J25</f>
        <v>0</v>
      </c>
      <c r="M25" s="204"/>
    </row>
    <row r="26" spans="1:14" ht="36" customHeight="1" x14ac:dyDescent="0.25">
      <c r="A26" s="104"/>
      <c r="B26" s="190"/>
      <c r="C26" s="193"/>
      <c r="D26" s="115" t="s">
        <v>12</v>
      </c>
      <c r="E26" s="116" t="s">
        <v>18</v>
      </c>
      <c r="F26" s="1189" t="s">
        <v>777</v>
      </c>
      <c r="G26" s="1190"/>
      <c r="H26" s="1191"/>
      <c r="I26" s="185">
        <f>'11 - Notes Follow-up'!N24</f>
        <v>0</v>
      </c>
      <c r="J26" s="185">
        <f t="shared" si="0"/>
        <v>0</v>
      </c>
      <c r="K26" s="185">
        <f t="shared" si="1"/>
        <v>0</v>
      </c>
      <c r="L26" s="184">
        <f>L25-J26</f>
        <v>0</v>
      </c>
      <c r="M26" s="204"/>
    </row>
    <row r="27" spans="1:14" ht="26.25" customHeight="1" x14ac:dyDescent="0.25">
      <c r="A27" s="104"/>
      <c r="B27" s="190"/>
      <c r="C27" s="193"/>
      <c r="D27" s="115" t="s">
        <v>13</v>
      </c>
      <c r="E27" s="116" t="s">
        <v>18</v>
      </c>
      <c r="F27" s="1186" t="s">
        <v>778</v>
      </c>
      <c r="G27" s="1187"/>
      <c r="H27" s="1188"/>
      <c r="I27" s="185">
        <f>IF(L5='00 - Cover'!F20,'15 - Priority of Payments'!L26,0)</f>
        <v>0</v>
      </c>
      <c r="J27" s="185">
        <f t="shared" si="0"/>
        <v>0</v>
      </c>
      <c r="K27" s="185">
        <f t="shared" si="1"/>
        <v>0</v>
      </c>
      <c r="L27" s="184">
        <f>L26-J27</f>
        <v>0</v>
      </c>
      <c r="M27" s="204"/>
      <c r="N27" s="160"/>
    </row>
    <row r="28" spans="1:14" x14ac:dyDescent="0.25">
      <c r="A28" s="112"/>
      <c r="B28" s="191"/>
      <c r="C28" s="194"/>
      <c r="D28" s="1206"/>
      <c r="E28" s="1207"/>
      <c r="F28" s="1207"/>
      <c r="G28" s="1207"/>
      <c r="H28" s="1207"/>
      <c r="I28" s="1207"/>
      <c r="J28" s="1208"/>
      <c r="K28" s="650"/>
      <c r="L28" s="186">
        <f>L27</f>
        <v>0</v>
      </c>
      <c r="M28" s="205"/>
    </row>
    <row r="29" spans="1:14" ht="15.75" thickBot="1" x14ac:dyDescent="0.3">
      <c r="A29" s="104"/>
      <c r="B29" s="192"/>
      <c r="C29" s="195"/>
      <c r="D29" s="196"/>
      <c r="E29" s="197"/>
      <c r="F29" s="198"/>
      <c r="G29" s="198"/>
      <c r="H29" s="195"/>
      <c r="I29" s="195"/>
      <c r="J29" s="195"/>
      <c r="K29" s="195"/>
      <c r="L29" s="199"/>
      <c r="M29" s="200"/>
    </row>
    <row r="33" spans="2:13" x14ac:dyDescent="0.25">
      <c r="H33" s="855" t="s">
        <v>1453</v>
      </c>
      <c r="I33" s="858">
        <f>+'13 - Issuer Account'!I19-'13 - Issuer Account'!M17-'13 - Issuer Account'!L17</f>
        <v>30630001.182099991</v>
      </c>
      <c r="J33" s="877"/>
      <c r="K33" s="877"/>
      <c r="L33" s="877"/>
    </row>
    <row r="34" spans="2:13" x14ac:dyDescent="0.25">
      <c r="H34" s="855" t="s">
        <v>1460</v>
      </c>
      <c r="I34" s="1070">
        <f>I15+3515.46</f>
        <v>18354315.369999994</v>
      </c>
      <c r="J34" s="877"/>
      <c r="K34" s="5"/>
      <c r="L34" s="877"/>
    </row>
    <row r="35" spans="2:13" x14ac:dyDescent="0.25">
      <c r="H35" s="855" t="s">
        <v>1454</v>
      </c>
      <c r="I35" s="858">
        <v>0</v>
      </c>
      <c r="J35" s="877"/>
      <c r="L35" s="877"/>
    </row>
    <row r="36" spans="2:13" x14ac:dyDescent="0.25">
      <c r="H36" s="855" t="s">
        <v>1455</v>
      </c>
      <c r="I36" s="1041">
        <f>+'13 - Issuer Account'!L17+'13 - Issuer Account'!M17</f>
        <v>165040.27000000002</v>
      </c>
      <c r="L36" s="877"/>
    </row>
    <row r="37" spans="2:13" x14ac:dyDescent="0.25">
      <c r="H37" s="853" t="s">
        <v>780</v>
      </c>
      <c r="I37" s="859">
        <f>I33-I34+I35+I36</f>
        <v>12440726.082099997</v>
      </c>
      <c r="J37" s="877"/>
      <c r="K37" s="877"/>
      <c r="L37" s="877"/>
      <c r="M37" s="877"/>
    </row>
    <row r="38" spans="2:13" x14ac:dyDescent="0.25">
      <c r="J38" s="877"/>
      <c r="K38" s="877"/>
      <c r="L38" s="877"/>
    </row>
    <row r="40" spans="2:13" ht="15.75" thickBot="1" x14ac:dyDescent="0.3">
      <c r="L40" s="167"/>
    </row>
    <row r="41" spans="2:13" ht="15.75" x14ac:dyDescent="0.25">
      <c r="B41" s="188"/>
      <c r="C41" s="1209" t="s">
        <v>774</v>
      </c>
      <c r="D41" s="1209"/>
      <c r="E41" s="1209"/>
      <c r="F41" s="1209"/>
      <c r="G41" s="1209"/>
      <c r="H41" s="1209"/>
      <c r="I41" s="1210"/>
      <c r="J41" s="206"/>
      <c r="K41" s="206"/>
      <c r="L41" s="206"/>
      <c r="M41" s="201"/>
    </row>
    <row r="42" spans="2:13" x14ac:dyDescent="0.25">
      <c r="B42" s="189"/>
      <c r="C42" s="1211"/>
      <c r="D42" s="1211"/>
      <c r="E42" s="1211"/>
      <c r="F42" s="1211"/>
      <c r="G42" s="1211"/>
      <c r="H42" s="1211"/>
      <c r="I42" s="1212"/>
      <c r="J42" s="111" t="s">
        <v>8</v>
      </c>
      <c r="K42" s="111"/>
      <c r="L42" s="111" t="s">
        <v>236</v>
      </c>
      <c r="M42" s="202"/>
    </row>
    <row r="43" spans="2:13" x14ac:dyDescent="0.25">
      <c r="B43" s="190"/>
      <c r="C43" s="193"/>
      <c r="D43" s="1213" t="s">
        <v>100</v>
      </c>
      <c r="E43" s="1214"/>
      <c r="F43" s="1214"/>
      <c r="G43" s="1214"/>
      <c r="H43" s="1215"/>
      <c r="I43" s="649" t="s">
        <v>101</v>
      </c>
      <c r="J43" s="649" t="s">
        <v>102</v>
      </c>
      <c r="K43" s="649" t="s">
        <v>118</v>
      </c>
      <c r="L43" s="854">
        <v>0</v>
      </c>
      <c r="M43" s="203"/>
    </row>
    <row r="44" spans="2:13" x14ac:dyDescent="0.25">
      <c r="B44" s="190"/>
      <c r="C44" s="193"/>
      <c r="D44" s="113"/>
      <c r="E44" s="114" t="s">
        <v>9</v>
      </c>
      <c r="F44" s="1178" t="s">
        <v>780</v>
      </c>
      <c r="G44" s="1179"/>
      <c r="H44" s="1180"/>
      <c r="I44" s="183">
        <f>I37</f>
        <v>12440726.082099997</v>
      </c>
      <c r="J44" s="183">
        <f>I44</f>
        <v>12440726.082099997</v>
      </c>
      <c r="K44" s="847"/>
      <c r="L44" s="184">
        <f>J44+L43</f>
        <v>12440726.082099997</v>
      </c>
      <c r="M44" s="203"/>
    </row>
    <row r="45" spans="2:13" x14ac:dyDescent="0.25">
      <c r="B45" s="190"/>
      <c r="C45" s="193"/>
      <c r="D45" s="115" t="s">
        <v>10</v>
      </c>
      <c r="E45" s="116" t="s">
        <v>18</v>
      </c>
      <c r="F45" s="1186" t="s">
        <v>781</v>
      </c>
      <c r="G45" s="1187"/>
      <c r="H45" s="1188"/>
      <c r="I45" s="185">
        <v>0</v>
      </c>
      <c r="J45" s="185">
        <f>IF(I45=0,0,MIN(I45,L44))</f>
        <v>0</v>
      </c>
      <c r="K45" s="185">
        <f>MAX(I45-J45,0)</f>
        <v>0</v>
      </c>
      <c r="L45" s="184">
        <f>L44-J45</f>
        <v>12440726.082099997</v>
      </c>
      <c r="M45" s="204"/>
    </row>
    <row r="46" spans="2:13" x14ac:dyDescent="0.25">
      <c r="B46" s="190"/>
      <c r="C46" s="193"/>
      <c r="D46" s="115" t="s">
        <v>11</v>
      </c>
      <c r="E46" s="116" t="s">
        <v>18</v>
      </c>
      <c r="F46" s="1189" t="s">
        <v>782</v>
      </c>
      <c r="G46" s="1190"/>
      <c r="H46" s="1191"/>
      <c r="I46" s="185">
        <f>'14 - Fees'!J61+'14 - Fees'!J62</f>
        <v>1861.37</v>
      </c>
      <c r="J46" s="185">
        <f t="shared" ref="J46:J56" si="2">IF(I46=0,0,MIN(I46,L45))</f>
        <v>1861.37</v>
      </c>
      <c r="K46" s="185">
        <f t="shared" ref="K46:K56" si="3">MAX(I46-J46,0)</f>
        <v>0</v>
      </c>
      <c r="L46" s="184">
        <f t="shared" ref="L46:L56" si="4">L45-J46</f>
        <v>12438864.712099997</v>
      </c>
      <c r="M46" s="204"/>
    </row>
    <row r="47" spans="2:13" x14ac:dyDescent="0.25">
      <c r="B47" s="190"/>
      <c r="C47" s="193"/>
      <c r="D47" s="115" t="s">
        <v>12</v>
      </c>
      <c r="E47" s="116" t="s">
        <v>18</v>
      </c>
      <c r="F47" s="1186" t="s">
        <v>783</v>
      </c>
      <c r="G47" s="1187"/>
      <c r="H47" s="1188"/>
      <c r="I47" s="185">
        <v>0</v>
      </c>
      <c r="J47" s="185">
        <f t="shared" si="2"/>
        <v>0</v>
      </c>
      <c r="K47" s="185">
        <f t="shared" si="3"/>
        <v>0</v>
      </c>
      <c r="L47" s="184">
        <f t="shared" si="4"/>
        <v>12438864.712099997</v>
      </c>
      <c r="M47" s="204"/>
    </row>
    <row r="48" spans="2:13" ht="24" customHeight="1" x14ac:dyDescent="0.25">
      <c r="B48" s="190"/>
      <c r="C48" s="193"/>
      <c r="D48" s="115" t="s">
        <v>13</v>
      </c>
      <c r="E48" s="116" t="s">
        <v>18</v>
      </c>
      <c r="F48" s="1186" t="s">
        <v>784</v>
      </c>
      <c r="G48" s="1187"/>
      <c r="H48" s="1188"/>
      <c r="I48" s="185">
        <f>'14 - Fees'!J74-'14 - Fees'!J61-'14 - Fees'!J62</f>
        <v>31632.017049180326</v>
      </c>
      <c r="J48" s="185">
        <f t="shared" si="2"/>
        <v>31632.017049180326</v>
      </c>
      <c r="K48" s="185">
        <f t="shared" si="3"/>
        <v>0</v>
      </c>
      <c r="L48" s="184">
        <f t="shared" si="4"/>
        <v>12407232.695050817</v>
      </c>
      <c r="M48" s="204"/>
    </row>
    <row r="49" spans="1:13" ht="25.5" customHeight="1" x14ac:dyDescent="0.25">
      <c r="B49" s="190"/>
      <c r="C49" s="193"/>
      <c r="D49" s="115" t="s">
        <v>14</v>
      </c>
      <c r="E49" s="116" t="s">
        <v>18</v>
      </c>
      <c r="F49" s="1186" t="s">
        <v>785</v>
      </c>
      <c r="G49" s="1187"/>
      <c r="H49" s="1188"/>
      <c r="I49" s="185">
        <f>'12 - Notes Interest'!I17</f>
        <v>404905.4</v>
      </c>
      <c r="J49" s="185">
        <f t="shared" si="2"/>
        <v>404905.4</v>
      </c>
      <c r="K49" s="185">
        <f t="shared" si="3"/>
        <v>0</v>
      </c>
      <c r="L49" s="184">
        <f t="shared" si="4"/>
        <v>12002327.295050817</v>
      </c>
      <c r="M49" s="204"/>
    </row>
    <row r="50" spans="1:13" x14ac:dyDescent="0.25">
      <c r="B50" s="190"/>
      <c r="C50" s="193"/>
      <c r="D50" s="115" t="s">
        <v>15</v>
      </c>
      <c r="E50" s="116" t="s">
        <v>18</v>
      </c>
      <c r="F50" s="1186" t="s">
        <v>786</v>
      </c>
      <c r="G50" s="1187"/>
      <c r="H50" s="1188"/>
      <c r="I50" s="185">
        <v>0</v>
      </c>
      <c r="J50" s="185">
        <f t="shared" si="2"/>
        <v>0</v>
      </c>
      <c r="K50" s="185">
        <f t="shared" si="3"/>
        <v>0</v>
      </c>
      <c r="L50" s="184">
        <f t="shared" si="4"/>
        <v>12002327.295050817</v>
      </c>
      <c r="M50" s="204"/>
    </row>
    <row r="51" spans="1:13" ht="28.5" customHeight="1" x14ac:dyDescent="0.25">
      <c r="B51" s="190"/>
      <c r="C51" s="193"/>
      <c r="D51" s="115" t="s">
        <v>16</v>
      </c>
      <c r="E51" s="116" t="s">
        <v>18</v>
      </c>
      <c r="F51" s="1186" t="s">
        <v>787</v>
      </c>
      <c r="G51" s="1187"/>
      <c r="H51" s="1188"/>
      <c r="I51" s="185">
        <f>+'13 - Issuer Account'!O65</f>
        <v>9507056.7161999997</v>
      </c>
      <c r="J51" s="185">
        <f t="shared" si="2"/>
        <v>9507056.7161999997</v>
      </c>
      <c r="K51" s="185">
        <f t="shared" si="3"/>
        <v>0</v>
      </c>
      <c r="L51" s="184">
        <f t="shared" si="4"/>
        <v>2495270.5788508169</v>
      </c>
      <c r="M51" s="204"/>
    </row>
    <row r="52" spans="1:13" ht="24" customHeight="1" x14ac:dyDescent="0.25">
      <c r="B52" s="190"/>
      <c r="C52" s="193"/>
      <c r="D52" s="115" t="s">
        <v>17</v>
      </c>
      <c r="E52" s="116" t="s">
        <v>18</v>
      </c>
      <c r="F52" s="1186" t="s">
        <v>788</v>
      </c>
      <c r="G52" s="1187"/>
      <c r="H52" s="1188"/>
      <c r="I52" s="185">
        <f>'12 - Notes Interest'!I23</f>
        <v>0</v>
      </c>
      <c r="J52" s="185">
        <f t="shared" si="2"/>
        <v>0</v>
      </c>
      <c r="K52" s="185">
        <f t="shared" si="3"/>
        <v>0</v>
      </c>
      <c r="L52" s="184">
        <f t="shared" si="4"/>
        <v>2495270.5788508169</v>
      </c>
      <c r="M52" s="204"/>
    </row>
    <row r="53" spans="1:13" ht="24" customHeight="1" x14ac:dyDescent="0.25">
      <c r="B53" s="190"/>
      <c r="C53" s="193"/>
      <c r="D53" s="115" t="s">
        <v>151</v>
      </c>
      <c r="E53" s="116" t="s">
        <v>18</v>
      </c>
      <c r="F53" s="1186" t="s">
        <v>792</v>
      </c>
      <c r="G53" s="1187"/>
      <c r="H53" s="1188"/>
      <c r="I53" s="185">
        <f>MIN(L52,'10 -Principal Deficiency Ledger'!D12)</f>
        <v>3515.46</v>
      </c>
      <c r="J53" s="185">
        <f t="shared" si="2"/>
        <v>3515.46</v>
      </c>
      <c r="K53" s="185">
        <f t="shared" si="3"/>
        <v>0</v>
      </c>
      <c r="L53" s="184">
        <f t="shared" si="4"/>
        <v>2491755.118850817</v>
      </c>
      <c r="M53" s="204"/>
    </row>
    <row r="54" spans="1:13" ht="37.5" customHeight="1" x14ac:dyDescent="0.25">
      <c r="B54" s="190"/>
      <c r="C54" s="193"/>
      <c r="D54" s="115" t="s">
        <v>789</v>
      </c>
      <c r="E54" s="116" t="s">
        <v>18</v>
      </c>
      <c r="F54" s="1186" t="s">
        <v>2537</v>
      </c>
      <c r="G54" s="1187"/>
      <c r="H54" s="1188"/>
      <c r="I54" s="185">
        <f>+'13 - Issuer Account'!I54-'13 - Issuer Account'!H56</f>
        <v>247194.82589999959</v>
      </c>
      <c r="J54" s="185">
        <f t="shared" si="2"/>
        <v>247194.82589999959</v>
      </c>
      <c r="K54" s="185">
        <f t="shared" si="3"/>
        <v>0</v>
      </c>
      <c r="L54" s="184">
        <f t="shared" si="4"/>
        <v>2244560.2929508174</v>
      </c>
      <c r="M54" s="204"/>
    </row>
    <row r="55" spans="1:13" ht="31.5" customHeight="1" x14ac:dyDescent="0.25">
      <c r="B55" s="190"/>
      <c r="C55" s="193"/>
      <c r="D55" s="115" t="s">
        <v>790</v>
      </c>
      <c r="E55" s="116" t="s">
        <v>18</v>
      </c>
      <c r="F55" s="1186" t="s">
        <v>793</v>
      </c>
      <c r="G55" s="1187"/>
      <c r="H55" s="1188"/>
      <c r="I55" s="185">
        <v>0</v>
      </c>
      <c r="J55" s="185">
        <f t="shared" si="2"/>
        <v>0</v>
      </c>
      <c r="K55" s="185">
        <f t="shared" si="3"/>
        <v>0</v>
      </c>
      <c r="L55" s="184">
        <f t="shared" si="4"/>
        <v>2244560.2929508174</v>
      </c>
      <c r="M55" s="204"/>
    </row>
    <row r="56" spans="1:13" ht="24" customHeight="1" x14ac:dyDescent="0.25">
      <c r="B56" s="190"/>
      <c r="C56" s="193"/>
      <c r="D56" s="115" t="s">
        <v>791</v>
      </c>
      <c r="E56" s="116" t="s">
        <v>18</v>
      </c>
      <c r="F56" s="1186" t="s">
        <v>794</v>
      </c>
      <c r="G56" s="1187"/>
      <c r="H56" s="1188"/>
      <c r="I56" s="185">
        <f>L55</f>
        <v>2244560.2929508174</v>
      </c>
      <c r="J56" s="185">
        <f t="shared" si="2"/>
        <v>2244560.2929508174</v>
      </c>
      <c r="K56" s="185">
        <f t="shared" si="3"/>
        <v>0</v>
      </c>
      <c r="L56" s="184">
        <f t="shared" si="4"/>
        <v>0</v>
      </c>
      <c r="M56" s="204"/>
    </row>
    <row r="57" spans="1:13" x14ac:dyDescent="0.25">
      <c r="B57" s="191"/>
      <c r="C57" s="194"/>
      <c r="D57" s="1206"/>
      <c r="E57" s="1207"/>
      <c r="F57" s="1207"/>
      <c r="G57" s="1207"/>
      <c r="H57" s="1207"/>
      <c r="I57" s="1207"/>
      <c r="J57" s="1208"/>
      <c r="K57" s="650"/>
      <c r="L57" s="186">
        <f>L56</f>
        <v>0</v>
      </c>
      <c r="M57" s="205"/>
    </row>
    <row r="58" spans="1:13" ht="15.75" thickBot="1" x14ac:dyDescent="0.3">
      <c r="B58" s="192"/>
      <c r="C58" s="195"/>
      <c r="D58" s="196"/>
      <c r="E58" s="197"/>
      <c r="F58" s="198"/>
      <c r="G58" s="198"/>
      <c r="H58" s="195"/>
      <c r="I58" s="195"/>
      <c r="J58" s="195"/>
      <c r="K58" s="195"/>
      <c r="L58" s="199"/>
      <c r="M58" s="200"/>
    </row>
    <row r="59" spans="1:13" x14ac:dyDescent="0.25">
      <c r="L59" s="167"/>
    </row>
    <row r="60" spans="1:13" x14ac:dyDescent="0.25">
      <c r="L60" s="167"/>
    </row>
    <row r="61" spans="1:13" x14ac:dyDescent="0.25">
      <c r="L61" s="167"/>
    </row>
    <row r="62" spans="1:13" ht="15.75" hidden="1" outlineLevel="1" thickBot="1" x14ac:dyDescent="0.3">
      <c r="L62" s="167"/>
    </row>
    <row r="63" spans="1:13" ht="15.75" hidden="1" customHeight="1" outlineLevel="1" x14ac:dyDescent="0.25">
      <c r="A63" s="104"/>
      <c r="B63" s="188"/>
      <c r="C63" s="1209" t="s">
        <v>795</v>
      </c>
      <c r="D63" s="1209"/>
      <c r="E63" s="1209"/>
      <c r="F63" s="1209"/>
      <c r="G63" s="1209"/>
      <c r="H63" s="1209"/>
      <c r="I63" s="1210"/>
      <c r="J63" s="206"/>
      <c r="K63" s="206"/>
      <c r="L63" s="206"/>
      <c r="M63" s="201"/>
    </row>
    <row r="64" spans="1:13" hidden="1" outlineLevel="1" x14ac:dyDescent="0.25">
      <c r="A64" s="110"/>
      <c r="B64" s="189"/>
      <c r="C64" s="1211"/>
      <c r="D64" s="1211"/>
      <c r="E64" s="1211"/>
      <c r="F64" s="1211"/>
      <c r="G64" s="1211"/>
      <c r="H64" s="1211"/>
      <c r="I64" s="1212"/>
      <c r="J64" s="111" t="s">
        <v>8</v>
      </c>
      <c r="K64" s="111"/>
      <c r="L64" s="111"/>
      <c r="M64" s="202"/>
    </row>
    <row r="65" spans="1:14" hidden="1" outlineLevel="1" x14ac:dyDescent="0.25">
      <c r="A65" s="104"/>
      <c r="B65" s="190"/>
      <c r="C65" s="193"/>
      <c r="D65" s="1213" t="s">
        <v>100</v>
      </c>
      <c r="E65" s="1214"/>
      <c r="F65" s="1214"/>
      <c r="G65" s="1214"/>
      <c r="H65" s="1215"/>
      <c r="I65" s="649" t="s">
        <v>101</v>
      </c>
      <c r="J65" s="649" t="s">
        <v>102</v>
      </c>
      <c r="K65" s="649" t="s">
        <v>118</v>
      </c>
      <c r="L65" s="187" t="s">
        <v>236</v>
      </c>
      <c r="M65" s="203"/>
    </row>
    <row r="66" spans="1:14" hidden="1" outlineLevel="1" x14ac:dyDescent="0.25">
      <c r="A66" s="104"/>
      <c r="B66" s="190"/>
      <c r="C66" s="193"/>
      <c r="D66" s="113"/>
      <c r="E66" s="114" t="s">
        <v>9</v>
      </c>
      <c r="F66" s="1178" t="s">
        <v>796</v>
      </c>
      <c r="G66" s="1179"/>
      <c r="H66" s="1180"/>
      <c r="I66" s="183"/>
      <c r="J66" s="183"/>
      <c r="K66" s="183"/>
      <c r="L66" s="184"/>
      <c r="M66" s="203"/>
      <c r="N66" s="167"/>
    </row>
    <row r="67" spans="1:14" hidden="1" outlineLevel="1" x14ac:dyDescent="0.25">
      <c r="A67" s="104"/>
      <c r="B67" s="190"/>
      <c r="C67" s="193"/>
      <c r="D67" s="115" t="s">
        <v>10</v>
      </c>
      <c r="E67" s="116" t="s">
        <v>18</v>
      </c>
      <c r="F67" s="1186" t="s">
        <v>797</v>
      </c>
      <c r="G67" s="1187"/>
      <c r="H67" s="1188"/>
      <c r="I67" s="183"/>
      <c r="J67" s="183"/>
      <c r="K67" s="183"/>
      <c r="L67" s="184"/>
      <c r="M67" s="203"/>
      <c r="N67" s="167"/>
    </row>
    <row r="68" spans="1:14" hidden="1" outlineLevel="1" x14ac:dyDescent="0.25">
      <c r="A68" s="104"/>
      <c r="B68" s="190"/>
      <c r="C68" s="193"/>
      <c r="D68" s="115" t="s">
        <v>11</v>
      </c>
      <c r="E68" s="116" t="s">
        <v>18</v>
      </c>
      <c r="F68" s="1186" t="s">
        <v>782</v>
      </c>
      <c r="G68" s="1187"/>
      <c r="H68" s="1188"/>
      <c r="I68" s="183"/>
      <c r="J68" s="183"/>
      <c r="K68" s="183"/>
      <c r="L68" s="184"/>
      <c r="M68" s="203"/>
      <c r="N68" s="167"/>
    </row>
    <row r="69" spans="1:14" hidden="1" outlineLevel="1" x14ac:dyDescent="0.25">
      <c r="A69" s="104"/>
      <c r="B69" s="190"/>
      <c r="C69" s="193"/>
      <c r="D69" s="115" t="s">
        <v>12</v>
      </c>
      <c r="E69" s="116" t="s">
        <v>18</v>
      </c>
      <c r="F69" s="1186" t="s">
        <v>783</v>
      </c>
      <c r="G69" s="1187"/>
      <c r="H69" s="1188"/>
      <c r="I69" s="183"/>
      <c r="J69" s="183"/>
      <c r="K69" s="183"/>
      <c r="L69" s="184"/>
      <c r="M69" s="203"/>
      <c r="N69" s="167"/>
    </row>
    <row r="70" spans="1:14" ht="29.25" hidden="1" customHeight="1" outlineLevel="1" x14ac:dyDescent="0.25">
      <c r="A70" s="104"/>
      <c r="B70" s="190"/>
      <c r="C70" s="193"/>
      <c r="D70" s="115" t="s">
        <v>13</v>
      </c>
      <c r="E70" s="116" t="s">
        <v>18</v>
      </c>
      <c r="F70" s="1186" t="s">
        <v>784</v>
      </c>
      <c r="G70" s="1187"/>
      <c r="H70" s="1188"/>
      <c r="I70" s="183"/>
      <c r="J70" s="183"/>
      <c r="K70" s="183"/>
      <c r="L70" s="184"/>
      <c r="M70" s="203"/>
      <c r="N70" s="167"/>
    </row>
    <row r="71" spans="1:14" ht="27" hidden="1" customHeight="1" outlineLevel="1" x14ac:dyDescent="0.25">
      <c r="A71" s="104"/>
      <c r="B71" s="190"/>
      <c r="C71" s="193"/>
      <c r="D71" s="115" t="s">
        <v>14</v>
      </c>
      <c r="E71" s="116" t="s">
        <v>18</v>
      </c>
      <c r="F71" s="1186" t="s">
        <v>798</v>
      </c>
      <c r="G71" s="1187"/>
      <c r="H71" s="1188"/>
      <c r="I71" s="183"/>
      <c r="J71" s="183"/>
      <c r="K71" s="183"/>
      <c r="L71" s="184"/>
      <c r="M71" s="203"/>
      <c r="N71" s="167"/>
    </row>
    <row r="72" spans="1:14" ht="29.25" hidden="1" customHeight="1" outlineLevel="1" x14ac:dyDescent="0.25">
      <c r="A72" s="104"/>
      <c r="B72" s="190"/>
      <c r="C72" s="193"/>
      <c r="D72" s="115" t="s">
        <v>15</v>
      </c>
      <c r="E72" s="116" t="s">
        <v>18</v>
      </c>
      <c r="F72" s="1186" t="s">
        <v>799</v>
      </c>
      <c r="G72" s="1187"/>
      <c r="H72" s="1188"/>
      <c r="I72" s="183"/>
      <c r="J72" s="183"/>
      <c r="K72" s="183"/>
      <c r="L72" s="184"/>
      <c r="M72" s="203"/>
      <c r="N72" s="167"/>
    </row>
    <row r="73" spans="1:14" hidden="1" outlineLevel="1" x14ac:dyDescent="0.25">
      <c r="A73" s="104"/>
      <c r="B73" s="190"/>
      <c r="C73" s="193"/>
      <c r="D73" s="115" t="s">
        <v>16</v>
      </c>
      <c r="E73" s="116" t="s">
        <v>18</v>
      </c>
      <c r="F73" s="1186" t="s">
        <v>800</v>
      </c>
      <c r="G73" s="1187"/>
      <c r="H73" s="1188"/>
      <c r="I73" s="183"/>
      <c r="J73" s="183"/>
      <c r="K73" s="183"/>
      <c r="L73" s="184"/>
      <c r="M73" s="203"/>
      <c r="N73" s="167"/>
    </row>
    <row r="74" spans="1:14" ht="28.5" hidden="1" customHeight="1" outlineLevel="1" x14ac:dyDescent="0.25">
      <c r="A74" s="104"/>
      <c r="B74" s="190"/>
      <c r="C74" s="193"/>
      <c r="D74" s="115" t="s">
        <v>17</v>
      </c>
      <c r="E74" s="116" t="s">
        <v>18</v>
      </c>
      <c r="F74" s="1186" t="s">
        <v>801</v>
      </c>
      <c r="G74" s="1187"/>
      <c r="H74" s="1188"/>
      <c r="I74" s="183"/>
      <c r="J74" s="183"/>
      <c r="K74" s="183"/>
      <c r="L74" s="184"/>
      <c r="M74" s="203"/>
      <c r="N74" s="167"/>
    </row>
    <row r="75" spans="1:14" hidden="1" outlineLevel="1" x14ac:dyDescent="0.25">
      <c r="A75" s="104"/>
      <c r="B75" s="190"/>
      <c r="C75" s="193"/>
      <c r="D75" s="115" t="s">
        <v>151</v>
      </c>
      <c r="E75" s="116" t="s">
        <v>18</v>
      </c>
      <c r="F75" s="1186" t="s">
        <v>802</v>
      </c>
      <c r="G75" s="1187"/>
      <c r="H75" s="1188"/>
      <c r="I75" s="183"/>
      <c r="J75" s="183"/>
      <c r="K75" s="183"/>
      <c r="L75" s="184"/>
      <c r="M75" s="203"/>
      <c r="N75" s="167"/>
    </row>
    <row r="76" spans="1:14" ht="38.25" hidden="1" customHeight="1" outlineLevel="1" x14ac:dyDescent="0.25">
      <c r="A76" s="104"/>
      <c r="B76" s="190"/>
      <c r="C76" s="193"/>
      <c r="D76" s="115" t="s">
        <v>789</v>
      </c>
      <c r="E76" s="116" t="s">
        <v>18</v>
      </c>
      <c r="F76" s="1186" t="s">
        <v>803</v>
      </c>
      <c r="G76" s="1187"/>
      <c r="H76" s="1188"/>
      <c r="I76" s="185"/>
      <c r="J76" s="185"/>
      <c r="K76" s="185"/>
      <c r="L76" s="184"/>
      <c r="M76" s="204"/>
    </row>
    <row r="77" spans="1:14" ht="25.5" hidden="1" customHeight="1" outlineLevel="1" x14ac:dyDescent="0.25">
      <c r="A77" s="104"/>
      <c r="B77" s="190"/>
      <c r="C77" s="193"/>
      <c r="D77" s="115" t="s">
        <v>790</v>
      </c>
      <c r="E77" s="116" t="s">
        <v>18</v>
      </c>
      <c r="F77" s="1186" t="s">
        <v>804</v>
      </c>
      <c r="G77" s="1187"/>
      <c r="H77" s="1188"/>
      <c r="I77" s="185"/>
      <c r="J77" s="185"/>
      <c r="K77" s="185"/>
      <c r="L77" s="184"/>
      <c r="M77" s="204"/>
    </row>
    <row r="78" spans="1:14" ht="25.5" hidden="1" customHeight="1" outlineLevel="1" x14ac:dyDescent="0.25">
      <c r="A78" s="104"/>
      <c r="B78" s="190"/>
      <c r="C78" s="193"/>
      <c r="D78" s="115" t="s">
        <v>791</v>
      </c>
      <c r="E78" s="116" t="s">
        <v>18</v>
      </c>
      <c r="F78" s="1186" t="s">
        <v>805</v>
      </c>
      <c r="G78" s="1187"/>
      <c r="H78" s="1188"/>
      <c r="I78" s="185"/>
      <c r="J78" s="185"/>
      <c r="K78" s="185"/>
      <c r="L78" s="184"/>
      <c r="M78" s="204"/>
    </row>
    <row r="79" spans="1:14" hidden="1" outlineLevel="1" x14ac:dyDescent="0.25">
      <c r="A79" s="112"/>
      <c r="B79" s="191"/>
      <c r="C79" s="194"/>
      <c r="D79" s="1206"/>
      <c r="E79" s="1207"/>
      <c r="F79" s="1207"/>
      <c r="G79" s="1207"/>
      <c r="H79" s="1207"/>
      <c r="I79" s="1207"/>
      <c r="J79" s="1208"/>
      <c r="K79" s="650"/>
      <c r="L79" s="186"/>
      <c r="M79" s="205"/>
    </row>
    <row r="80" spans="1:14" ht="15.75" hidden="1" outlineLevel="1" thickBot="1" x14ac:dyDescent="0.3">
      <c r="A80" s="104"/>
      <c r="B80" s="192"/>
      <c r="C80" s="195"/>
      <c r="D80" s="196"/>
      <c r="E80" s="197"/>
      <c r="F80" s="198"/>
      <c r="G80" s="198"/>
      <c r="H80" s="195"/>
      <c r="I80" s="195"/>
      <c r="J80" s="195"/>
      <c r="K80" s="195"/>
      <c r="L80" s="199"/>
      <c r="M80" s="200"/>
    </row>
    <row r="81" spans="1:14" hidden="1" outlineLevel="1" x14ac:dyDescent="0.25"/>
    <row r="82" spans="1:14" s="573" customFormat="1" collapsed="1" x14ac:dyDescent="0.25">
      <c r="F82" s="574"/>
      <c r="G82" s="574"/>
      <c r="H82" s="574"/>
      <c r="I82" s="574"/>
      <c r="J82" s="574"/>
      <c r="K82" s="574"/>
      <c r="L82" s="575"/>
      <c r="M82" s="576"/>
    </row>
    <row r="83" spans="1:14" ht="15.75" hidden="1" outlineLevel="1" thickBot="1" x14ac:dyDescent="0.3">
      <c r="L83" s="167"/>
    </row>
    <row r="84" spans="1:14" ht="15.75" hidden="1" customHeight="1" outlineLevel="1" x14ac:dyDescent="0.25">
      <c r="A84" s="104"/>
      <c r="B84" s="188"/>
      <c r="C84" s="1209" t="s">
        <v>709</v>
      </c>
      <c r="D84" s="1209"/>
      <c r="E84" s="1209"/>
      <c r="F84" s="1209"/>
      <c r="G84" s="1209"/>
      <c r="H84" s="1209"/>
      <c r="I84" s="1210"/>
      <c r="J84" s="206"/>
      <c r="K84" s="206"/>
      <c r="L84" s="206"/>
      <c r="M84" s="201"/>
    </row>
    <row r="85" spans="1:14" hidden="1" outlineLevel="1" x14ac:dyDescent="0.25">
      <c r="A85" s="110"/>
      <c r="B85" s="189"/>
      <c r="C85" s="1211"/>
      <c r="D85" s="1211"/>
      <c r="E85" s="1211"/>
      <c r="F85" s="1211"/>
      <c r="G85" s="1211"/>
      <c r="H85" s="1211"/>
      <c r="I85" s="1212"/>
      <c r="J85" s="111" t="s">
        <v>8</v>
      </c>
      <c r="K85" s="111"/>
      <c r="L85" s="111"/>
      <c r="M85" s="202"/>
    </row>
    <row r="86" spans="1:14" hidden="1" outlineLevel="1" x14ac:dyDescent="0.25">
      <c r="A86" s="104"/>
      <c r="B86" s="190"/>
      <c r="C86" s="193"/>
      <c r="D86" s="1213" t="s">
        <v>100</v>
      </c>
      <c r="E86" s="1214"/>
      <c r="F86" s="1214"/>
      <c r="G86" s="1214"/>
      <c r="H86" s="1215"/>
      <c r="I86" s="649" t="s">
        <v>101</v>
      </c>
      <c r="J86" s="649" t="s">
        <v>102</v>
      </c>
      <c r="K86" s="649" t="s">
        <v>118</v>
      </c>
      <c r="L86" s="187" t="s">
        <v>236</v>
      </c>
      <c r="M86" s="203"/>
    </row>
    <row r="87" spans="1:14" hidden="1" outlineLevel="1" x14ac:dyDescent="0.25">
      <c r="A87" s="104"/>
      <c r="B87" s="190"/>
      <c r="C87" s="193"/>
      <c r="D87" s="113"/>
      <c r="E87" s="114" t="s">
        <v>9</v>
      </c>
      <c r="F87" s="1178"/>
      <c r="G87" s="1179"/>
      <c r="H87" s="1180"/>
      <c r="I87" s="183"/>
      <c r="J87" s="183"/>
      <c r="K87" s="183"/>
      <c r="L87" s="184"/>
      <c r="M87" s="203"/>
      <c r="N87" s="167"/>
    </row>
    <row r="88" spans="1:14" ht="25.5" hidden="1" customHeight="1" outlineLevel="1" x14ac:dyDescent="0.25">
      <c r="A88" s="104"/>
      <c r="B88" s="190"/>
      <c r="C88" s="193"/>
      <c r="D88" s="115" t="s">
        <v>10</v>
      </c>
      <c r="E88" s="116" t="s">
        <v>18</v>
      </c>
      <c r="F88" s="1186" t="s">
        <v>710</v>
      </c>
      <c r="G88" s="1187"/>
      <c r="H88" s="1188"/>
      <c r="I88" s="185"/>
      <c r="J88" s="185"/>
      <c r="K88" s="185"/>
      <c r="L88" s="184"/>
      <c r="M88" s="204"/>
    </row>
    <row r="89" spans="1:14" ht="25.5" hidden="1" customHeight="1" outlineLevel="1" x14ac:dyDescent="0.25">
      <c r="A89" s="104"/>
      <c r="B89" s="190"/>
      <c r="C89" s="193"/>
      <c r="D89" s="115" t="s">
        <v>11</v>
      </c>
      <c r="E89" s="116" t="s">
        <v>18</v>
      </c>
      <c r="F89" s="1186" t="s">
        <v>711</v>
      </c>
      <c r="G89" s="1187"/>
      <c r="H89" s="1188"/>
      <c r="I89" s="185"/>
      <c r="J89" s="185"/>
      <c r="K89" s="185"/>
      <c r="L89" s="184"/>
      <c r="M89" s="204"/>
    </row>
    <row r="90" spans="1:14" ht="25.5" hidden="1" customHeight="1" outlineLevel="1" x14ac:dyDescent="0.25">
      <c r="A90" s="104"/>
      <c r="B90" s="190"/>
      <c r="C90" s="193"/>
      <c r="D90" s="115" t="s">
        <v>12</v>
      </c>
      <c r="E90" s="116" t="s">
        <v>18</v>
      </c>
      <c r="F90" s="1186" t="s">
        <v>712</v>
      </c>
      <c r="G90" s="1187"/>
      <c r="H90" s="1188"/>
      <c r="I90" s="185"/>
      <c r="J90" s="185"/>
      <c r="K90" s="185"/>
      <c r="L90" s="184"/>
      <c r="M90" s="204"/>
    </row>
    <row r="91" spans="1:14" ht="45.6" hidden="1" customHeight="1" outlineLevel="1" x14ac:dyDescent="0.25">
      <c r="A91" s="104"/>
      <c r="B91" s="190"/>
      <c r="C91" s="193"/>
      <c r="D91" s="115" t="s">
        <v>13</v>
      </c>
      <c r="E91" s="116" t="s">
        <v>18</v>
      </c>
      <c r="F91" s="1186" t="s">
        <v>713</v>
      </c>
      <c r="G91" s="1187"/>
      <c r="H91" s="1188"/>
      <c r="I91" s="185"/>
      <c r="J91" s="185"/>
      <c r="K91" s="185"/>
      <c r="L91" s="184"/>
      <c r="M91" s="204"/>
      <c r="N91" s="160"/>
    </row>
    <row r="92" spans="1:14" hidden="1" outlineLevel="1" x14ac:dyDescent="0.25">
      <c r="A92" s="112"/>
      <c r="B92" s="191"/>
      <c r="C92" s="194"/>
      <c r="D92" s="1206"/>
      <c r="E92" s="1207"/>
      <c r="F92" s="1207"/>
      <c r="G92" s="1207"/>
      <c r="H92" s="1207"/>
      <c r="I92" s="1207"/>
      <c r="J92" s="1208"/>
      <c r="K92" s="650"/>
      <c r="L92" s="186"/>
      <c r="M92" s="205"/>
    </row>
    <row r="93" spans="1:14" ht="15.75" hidden="1" outlineLevel="1" thickBot="1" x14ac:dyDescent="0.3">
      <c r="A93" s="104"/>
      <c r="B93" s="192"/>
      <c r="C93" s="195"/>
      <c r="D93" s="196"/>
      <c r="E93" s="197"/>
      <c r="F93" s="198"/>
      <c r="G93" s="198"/>
      <c r="H93" s="195"/>
      <c r="I93" s="195"/>
      <c r="J93" s="195"/>
      <c r="K93" s="195"/>
      <c r="L93" s="199"/>
      <c r="M93" s="200"/>
    </row>
    <row r="94" spans="1:14" hidden="1" outlineLevel="1" x14ac:dyDescent="0.25"/>
    <row r="95" spans="1:14" s="573" customFormat="1" collapsed="1" x14ac:dyDescent="0.25">
      <c r="F95" s="574"/>
      <c r="G95" s="574"/>
      <c r="H95" s="574"/>
      <c r="I95" s="574"/>
      <c r="J95" s="574"/>
      <c r="K95" s="574"/>
      <c r="L95" s="575"/>
      <c r="M95" s="576"/>
    </row>
  </sheetData>
  <mergeCells count="49">
    <mergeCell ref="F45:H45"/>
    <mergeCell ref="F46:H46"/>
    <mergeCell ref="F52:H52"/>
    <mergeCell ref="D57:J57"/>
    <mergeCell ref="F47:H47"/>
    <mergeCell ref="F48:H48"/>
    <mergeCell ref="F49:H49"/>
    <mergeCell ref="F50:H50"/>
    <mergeCell ref="F51:H51"/>
    <mergeCell ref="F53:H53"/>
    <mergeCell ref="F54:H54"/>
    <mergeCell ref="F55:H55"/>
    <mergeCell ref="F56:H56"/>
    <mergeCell ref="D28:J28"/>
    <mergeCell ref="F27:H27"/>
    <mergeCell ref="C41:I42"/>
    <mergeCell ref="D43:H43"/>
    <mergeCell ref="F44:H44"/>
    <mergeCell ref="F3:H6"/>
    <mergeCell ref="C20:I21"/>
    <mergeCell ref="F25:H25"/>
    <mergeCell ref="F26:H26"/>
    <mergeCell ref="F24:H24"/>
    <mergeCell ref="D22:H22"/>
    <mergeCell ref="F23:H23"/>
    <mergeCell ref="F89:H89"/>
    <mergeCell ref="F78:H78"/>
    <mergeCell ref="D79:J79"/>
    <mergeCell ref="C63:I64"/>
    <mergeCell ref="D65:H65"/>
    <mergeCell ref="F66:H66"/>
    <mergeCell ref="F76:H76"/>
    <mergeCell ref="F77:H77"/>
    <mergeCell ref="F90:H90"/>
    <mergeCell ref="F91:H91"/>
    <mergeCell ref="D92:J92"/>
    <mergeCell ref="F67:H67"/>
    <mergeCell ref="F68:H68"/>
    <mergeCell ref="F69:H69"/>
    <mergeCell ref="F70:H70"/>
    <mergeCell ref="F71:H71"/>
    <mergeCell ref="F72:H72"/>
    <mergeCell ref="F73:H73"/>
    <mergeCell ref="F74:H74"/>
    <mergeCell ref="F75:H75"/>
    <mergeCell ref="C84:I85"/>
    <mergeCell ref="D86:H86"/>
    <mergeCell ref="F87:H87"/>
    <mergeCell ref="F88:H88"/>
  </mergeCells>
  <phoneticPr fontId="131" type="noConversion"/>
  <conditionalFormatting sqref="L83">
    <cfRule type="cellIs" dxfId="44" priority="3" operator="equal">
      <formula>"KO"</formula>
    </cfRule>
    <cfRule type="cellIs" dxfId="43" priority="4" operator="equal">
      <formula>"OK"</formula>
    </cfRule>
  </conditionalFormatting>
  <conditionalFormatting sqref="N23 L40 L59:L62">
    <cfRule type="cellIs" dxfId="42" priority="31" operator="equal">
      <formula>"KO"</formula>
    </cfRule>
    <cfRule type="cellIs" dxfId="41" priority="34" operator="equal">
      <formula>"OK"</formula>
    </cfRule>
  </conditionalFormatting>
  <conditionalFormatting sqref="N66:N75">
    <cfRule type="cellIs" dxfId="40" priority="5" operator="equal">
      <formula>"KO"</formula>
    </cfRule>
    <cfRule type="cellIs" dxfId="39" priority="6" operator="equal">
      <formula>"OK"</formula>
    </cfRule>
  </conditionalFormatting>
  <conditionalFormatting sqref="N87">
    <cfRule type="cellIs" dxfId="38" priority="1" operator="equal">
      <formula>"KO"</formula>
    </cfRule>
    <cfRule type="cellIs" dxfId="37" priority="2" operator="equal">
      <formula>"OK"</formula>
    </cfRule>
  </conditionalFormatting>
  <pageMargins left="0.19685039370078741" right="0.19685039370078741" top="0.74803149606299213" bottom="0.74803149606299213" header="0.31496062992125984" footer="0.31496062992125984"/>
  <pageSetup paperSize="9" scale="40"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sheetPr>
  <dimension ref="A1:Q28"/>
  <sheetViews>
    <sheetView showGridLines="0" view="pageBreakPreview" topLeftCell="C1" zoomScaleNormal="92" zoomScaleSheetLayoutView="100" workbookViewId="0">
      <selection activeCell="K19" sqref="K19"/>
    </sheetView>
  </sheetViews>
  <sheetFormatPr defaultColWidth="9.140625" defaultRowHeight="12.75" x14ac:dyDescent="0.2"/>
  <cols>
    <col min="1" max="1" width="3.42578125" customWidth="1"/>
    <col min="2" max="2" width="15.85546875" bestFit="1" customWidth="1"/>
    <col min="3" max="3" width="1.5703125" customWidth="1"/>
    <col min="4" max="4" width="18.140625" customWidth="1"/>
    <col min="5" max="5" width="41.42578125" customWidth="1"/>
    <col min="6" max="6" width="22.5703125" customWidth="1"/>
    <col min="7" max="7" width="12.140625" bestFit="1" customWidth="1"/>
    <col min="8" max="8" width="3.85546875" customWidth="1"/>
    <col min="9" max="9" width="27.5703125" customWidth="1"/>
    <col min="10" max="10" width="18.5703125" customWidth="1"/>
    <col min="11" max="11" width="22.5703125" customWidth="1"/>
    <col min="12" max="12" width="16.42578125" bestFit="1" customWidth="1"/>
    <col min="13" max="14" width="17.85546875" bestFit="1" customWidth="1"/>
    <col min="15" max="15" width="12" bestFit="1" customWidth="1"/>
    <col min="16" max="16" width="17.85546875" bestFit="1" customWidth="1"/>
    <col min="17" max="17" width="16.7109375" bestFit="1" customWidth="1"/>
  </cols>
  <sheetData>
    <row r="1" spans="1:17" x14ac:dyDescent="0.2">
      <c r="A1" s="157"/>
    </row>
    <row r="4" spans="1:17" ht="15" x14ac:dyDescent="0.2">
      <c r="J4" s="349"/>
      <c r="K4" s="144"/>
    </row>
    <row r="5" spans="1:17" ht="15" x14ac:dyDescent="0.2">
      <c r="J5" s="349"/>
      <c r="K5" s="144"/>
    </row>
    <row r="6" spans="1:17" ht="15" x14ac:dyDescent="0.2">
      <c r="J6" s="349"/>
      <c r="K6" s="144"/>
    </row>
    <row r="9" spans="1:17" ht="13.5" thickBot="1" x14ac:dyDescent="0.25"/>
    <row r="10" spans="1:17" ht="16.5" customHeight="1" thickBot="1" x14ac:dyDescent="0.25">
      <c r="C10" s="632" t="s">
        <v>218</v>
      </c>
      <c r="D10" s="633"/>
      <c r="E10" s="634"/>
      <c r="F10" s="634"/>
      <c r="G10" s="634"/>
      <c r="H10" s="634"/>
      <c r="I10" s="634"/>
      <c r="J10" s="634"/>
      <c r="K10" s="635"/>
    </row>
    <row r="11" spans="1:17" ht="18" x14ac:dyDescent="0.25">
      <c r="C11" s="118"/>
      <c r="D11" s="119"/>
      <c r="E11" s="118"/>
      <c r="F11" s="118"/>
      <c r="G11" s="118"/>
      <c r="H11" s="118"/>
      <c r="I11" s="118"/>
      <c r="J11" s="118"/>
      <c r="K11" s="118"/>
    </row>
    <row r="12" spans="1:17" ht="15" x14ac:dyDescent="0.2">
      <c r="C12" s="1216" t="s">
        <v>88</v>
      </c>
      <c r="D12" s="1217"/>
      <c r="E12" s="1217"/>
      <c r="F12" s="1218"/>
      <c r="G12" s="120"/>
      <c r="H12" s="1219" t="s">
        <v>89</v>
      </c>
      <c r="I12" s="1220" t="s">
        <v>19</v>
      </c>
      <c r="J12" s="1220"/>
      <c r="K12" s="1221" t="s">
        <v>1</v>
      </c>
      <c r="O12" s="3"/>
    </row>
    <row r="13" spans="1:17" ht="15" x14ac:dyDescent="0.2">
      <c r="C13" s="131"/>
      <c r="D13" s="132"/>
      <c r="E13" s="133"/>
      <c r="F13" s="134"/>
      <c r="G13" s="121"/>
      <c r="H13" s="884"/>
      <c r="I13" s="479" t="s">
        <v>683</v>
      </c>
      <c r="J13" s="126"/>
      <c r="K13" s="878">
        <f>'11 - Notes Follow-up'!G24</f>
        <v>615449465.71000004</v>
      </c>
      <c r="L13" s="3"/>
      <c r="M13" s="3"/>
      <c r="N13" s="3"/>
    </row>
    <row r="14" spans="1:17" ht="15" x14ac:dyDescent="0.25">
      <c r="B14" s="3"/>
      <c r="C14" s="135"/>
      <c r="D14" s="825" t="s">
        <v>684</v>
      </c>
      <c r="E14" s="122"/>
      <c r="F14" s="136">
        <f>'03 - Monthly Asset Follow up'!O17+'03 - Monthly Asset Follow up'!AS17+'03 - Monthly Asset Follow up'!BN17+'03 - Monthly Asset Follow up'!CR17</f>
        <v>683038408.28999984</v>
      </c>
      <c r="G14" s="121"/>
      <c r="H14" s="885"/>
      <c r="I14" s="826"/>
      <c r="J14" s="879"/>
      <c r="K14" s="127"/>
      <c r="M14" s="3"/>
      <c r="N14" s="3"/>
    </row>
    <row r="15" spans="1:17" ht="15" x14ac:dyDescent="0.25">
      <c r="B15" s="3"/>
      <c r="C15" s="1067"/>
      <c r="D15" s="825" t="s">
        <v>2549</v>
      </c>
      <c r="E15" s="1068"/>
      <c r="F15" s="1069">
        <f>-'03 - Monthly Asset Follow up'!CR17</f>
        <v>-3515.46</v>
      </c>
      <c r="G15" s="121"/>
      <c r="H15" s="885"/>
      <c r="I15" s="826"/>
      <c r="J15" s="879"/>
      <c r="K15" s="127"/>
      <c r="M15" s="3"/>
      <c r="N15" s="3"/>
    </row>
    <row r="16" spans="1:17" ht="15" x14ac:dyDescent="0.2">
      <c r="C16" s="135"/>
      <c r="D16" s="825" t="str">
        <f>+'03 - Monthly Asset Follow up'!G14</f>
        <v>Recapitalization into the principal outstanding balance</v>
      </c>
      <c r="E16" s="896"/>
      <c r="F16" s="895">
        <f>SUM('03 - Monthly Asset Follow up'!G17:I87)</f>
        <v>6270.68</v>
      </c>
      <c r="G16" s="158"/>
      <c r="H16" s="885"/>
      <c r="I16" s="826" t="s">
        <v>703</v>
      </c>
      <c r="J16" s="879"/>
      <c r="K16" s="880">
        <f>'11 - Notes Follow-up'!O24</f>
        <v>67585000</v>
      </c>
      <c r="M16" s="3"/>
      <c r="N16" s="3"/>
      <c r="P16" s="157"/>
      <c r="Q16" s="3"/>
    </row>
    <row r="17" spans="2:14" ht="15" x14ac:dyDescent="0.25">
      <c r="C17" s="137"/>
      <c r="D17" s="825"/>
      <c r="E17" s="122"/>
      <c r="F17" s="136"/>
      <c r="G17" s="158"/>
      <c r="H17" s="885"/>
      <c r="I17" s="826"/>
      <c r="J17" s="879"/>
      <c r="K17" s="894"/>
      <c r="L17" s="3"/>
      <c r="M17" s="3"/>
    </row>
    <row r="18" spans="2:14" ht="15" x14ac:dyDescent="0.25">
      <c r="C18" s="137"/>
      <c r="D18" s="825"/>
      <c r="E18" s="122"/>
      <c r="F18" s="136"/>
      <c r="G18" s="158"/>
      <c r="H18" s="885"/>
      <c r="I18" s="826" t="s">
        <v>1498</v>
      </c>
      <c r="J18" s="879"/>
      <c r="K18" s="880">
        <f>14.37+412.75</f>
        <v>427.12</v>
      </c>
      <c r="L18" s="4"/>
      <c r="M18" s="3"/>
      <c r="N18" s="3"/>
    </row>
    <row r="19" spans="2:14" ht="15" x14ac:dyDescent="0.25">
      <c r="C19" s="137"/>
      <c r="D19" s="825" t="s">
        <v>230</v>
      </c>
      <c r="E19" s="122"/>
      <c r="F19" s="136">
        <f>'13 - Issuer Account'!I26</f>
        <v>300</v>
      </c>
      <c r="G19" s="121"/>
      <c r="H19" s="885"/>
      <c r="I19" s="826"/>
      <c r="J19" s="879"/>
      <c r="K19" s="127"/>
      <c r="M19" s="3"/>
    </row>
    <row r="20" spans="2:14" ht="15" x14ac:dyDescent="0.25">
      <c r="C20" s="137"/>
      <c r="D20" s="480" t="s">
        <v>686</v>
      </c>
      <c r="E20" s="122"/>
      <c r="F20" s="136">
        <f>'13 - Issuer Account'!I36</f>
        <v>0</v>
      </c>
      <c r="G20" s="121"/>
      <c r="H20" s="886"/>
      <c r="I20" s="826" t="s">
        <v>248</v>
      </c>
      <c r="J20" s="881"/>
      <c r="K20" s="880">
        <f>'11 - Notes Follow-up'!V24</f>
        <v>300</v>
      </c>
      <c r="M20" s="5"/>
    </row>
    <row r="21" spans="2:14" ht="15" x14ac:dyDescent="0.2">
      <c r="B21" s="3"/>
      <c r="C21" s="138"/>
      <c r="D21" s="825" t="s">
        <v>231</v>
      </c>
      <c r="E21" s="123"/>
      <c r="F21" s="136">
        <f>'13 - Issuer Account'!I61</f>
        <v>9507056.7161999997</v>
      </c>
      <c r="G21" s="124"/>
      <c r="H21" s="886"/>
      <c r="J21" s="127"/>
      <c r="K21" s="127"/>
    </row>
    <row r="22" spans="2:14" ht="15" x14ac:dyDescent="0.2">
      <c r="C22" s="138"/>
      <c r="D22" s="825" t="s">
        <v>685</v>
      </c>
      <c r="E22" s="123"/>
      <c r="F22" s="136">
        <f>'13 - Issuer Account'!I48</f>
        <v>0</v>
      </c>
      <c r="G22" s="124"/>
      <c r="H22" s="886"/>
      <c r="I22" s="826" t="s">
        <v>1465</v>
      </c>
      <c r="J22" s="881"/>
      <c r="K22" s="880">
        <f>'13 - Issuer Account'!I61</f>
        <v>9507056.7161999997</v>
      </c>
    </row>
    <row r="23" spans="2:14" ht="15.75" x14ac:dyDescent="0.2">
      <c r="C23" s="142"/>
      <c r="D23" s="139"/>
      <c r="E23" s="140"/>
      <c r="F23" s="141"/>
      <c r="G23" s="125"/>
      <c r="H23" s="128"/>
      <c r="I23" s="887"/>
      <c r="J23" s="882"/>
      <c r="K23" s="883"/>
    </row>
    <row r="24" spans="2:14" ht="15.75" x14ac:dyDescent="0.2">
      <c r="D24" s="143" t="s">
        <v>2</v>
      </c>
      <c r="E24" s="143"/>
      <c r="F24" s="827">
        <f>F14+F20+F21+F19+F22+F15</f>
        <v>692542249.5461998</v>
      </c>
      <c r="G24" s="118"/>
      <c r="H24" s="129"/>
      <c r="I24" s="130" t="s">
        <v>2</v>
      </c>
      <c r="J24" s="130"/>
      <c r="K24" s="828">
        <f>K13+K16+K20+K22+K18</f>
        <v>692542249.54620004</v>
      </c>
      <c r="L24" s="1071">
        <f>K24-F24</f>
        <v>0</v>
      </c>
    </row>
    <row r="25" spans="2:14" x14ac:dyDescent="0.2">
      <c r="I25" s="3"/>
      <c r="J25" s="3"/>
      <c r="K25" s="3"/>
      <c r="N25" s="3"/>
    </row>
    <row r="26" spans="2:14" x14ac:dyDescent="0.2">
      <c r="F26" s="3"/>
      <c r="I26" s="3"/>
      <c r="K26" s="3"/>
    </row>
    <row r="27" spans="2:14" x14ac:dyDescent="0.2">
      <c r="G27" s="3"/>
      <c r="I27" s="3"/>
    </row>
    <row r="28" spans="2:14" x14ac:dyDescent="0.2">
      <c r="F28" s="3"/>
    </row>
  </sheetData>
  <mergeCells count="2">
    <mergeCell ref="C12:F12"/>
    <mergeCell ref="H12:K12"/>
  </mergeCells>
  <pageMargins left="0.7" right="0.7" top="0.75" bottom="0.75" header="0.3" footer="0.3"/>
  <pageSetup scale="4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sheetPr>
  <dimension ref="A1:M370"/>
  <sheetViews>
    <sheetView showGridLines="0" zoomScale="80" zoomScaleNormal="80" workbookViewId="0">
      <selection activeCell="G22" sqref="G22"/>
    </sheetView>
  </sheetViews>
  <sheetFormatPr defaultColWidth="11.42578125" defaultRowHeight="15" x14ac:dyDescent="0.25"/>
  <cols>
    <col min="1" max="1" width="11.42578125" style="8"/>
    <col min="2" max="2" width="30.42578125" style="8" bestFit="1" customWidth="1"/>
    <col min="3" max="3" width="3" style="8" customWidth="1"/>
    <col min="4" max="4" width="34.5703125" style="8" customWidth="1"/>
    <col min="5" max="5" width="34" style="8" customWidth="1"/>
    <col min="6" max="6" width="24.42578125" style="8" bestFit="1" customWidth="1"/>
    <col min="7" max="7" width="25.140625" style="8" customWidth="1"/>
    <col min="8" max="8" width="30.5703125" style="8" customWidth="1"/>
    <col min="9" max="9" width="31.140625" style="8" customWidth="1"/>
    <col min="10" max="10" width="24.85546875" style="8" customWidth="1"/>
    <col min="11" max="11" width="25.140625" style="9" customWidth="1"/>
    <col min="12" max="12" width="25.140625" style="8" customWidth="1"/>
    <col min="13" max="16384" width="11.42578125" style="8"/>
  </cols>
  <sheetData>
    <row r="1" spans="2:11" ht="21.75" customHeight="1" x14ac:dyDescent="0.25">
      <c r="K1" s="8"/>
    </row>
    <row r="2" spans="2:11" x14ac:dyDescent="0.25">
      <c r="K2" s="8"/>
    </row>
    <row r="3" spans="2:11" x14ac:dyDescent="0.25">
      <c r="K3" s="8"/>
    </row>
    <row r="4" spans="2:11" x14ac:dyDescent="0.25">
      <c r="K4" s="8"/>
    </row>
    <row r="5" spans="2:11" x14ac:dyDescent="0.25">
      <c r="K5" s="8"/>
    </row>
    <row r="7" spans="2:11" x14ac:dyDescent="0.25">
      <c r="B7" s="1142" t="s">
        <v>215</v>
      </c>
      <c r="C7" s="1142"/>
      <c r="D7" s="1142"/>
      <c r="E7" s="1142"/>
      <c r="F7" s="1142"/>
      <c r="G7" s="1142"/>
      <c r="H7" s="1142"/>
      <c r="I7" s="1142"/>
      <c r="J7" s="9"/>
    </row>
    <row r="8" spans="2:11" ht="15.75" thickBot="1" x14ac:dyDescent="0.3"/>
    <row r="9" spans="2:11" ht="15.75" thickBot="1" x14ac:dyDescent="0.3">
      <c r="B9" s="344" t="s">
        <v>130</v>
      </c>
      <c r="D9" s="344">
        <v>1</v>
      </c>
    </row>
    <row r="11" spans="2:11" ht="15.75" thickBot="1" x14ac:dyDescent="0.3"/>
    <row r="12" spans="2:11" ht="63" customHeight="1" thickTop="1" thickBot="1" x14ac:dyDescent="0.3">
      <c r="B12" s="640" t="s">
        <v>135</v>
      </c>
      <c r="C12" s="341"/>
      <c r="D12" s="1231"/>
      <c r="E12" s="1232"/>
    </row>
    <row r="13" spans="2:11" ht="16.5" customHeight="1" thickTop="1" thickBot="1" x14ac:dyDescent="0.3">
      <c r="B13" s="342"/>
      <c r="C13" s="342"/>
      <c r="D13" s="342"/>
      <c r="E13" s="342"/>
      <c r="F13" s="291"/>
    </row>
    <row r="14" spans="2:11" ht="15" customHeight="1" x14ac:dyDescent="0.25">
      <c r="B14" s="636" t="s">
        <v>666</v>
      </c>
      <c r="C14" s="343"/>
      <c r="D14" s="1228" t="s">
        <v>667</v>
      </c>
      <c r="E14" s="1228"/>
      <c r="K14" s="8"/>
    </row>
    <row r="15" spans="2:11" ht="15" customHeight="1" x14ac:dyDescent="0.25">
      <c r="B15" s="637" t="s">
        <v>671</v>
      </c>
      <c r="C15" s="343"/>
      <c r="D15" s="1233" t="s">
        <v>672</v>
      </c>
      <c r="E15" s="1233"/>
      <c r="K15" s="8"/>
    </row>
    <row r="16" spans="2:11" x14ac:dyDescent="0.25">
      <c r="B16" s="638" t="s">
        <v>132</v>
      </c>
      <c r="C16" s="341"/>
      <c r="D16" s="1229">
        <v>45268</v>
      </c>
      <c r="E16" s="1230"/>
      <c r="K16" s="289"/>
    </row>
    <row r="17" spans="1:13" x14ac:dyDescent="0.25">
      <c r="B17" s="638" t="s">
        <v>131</v>
      </c>
      <c r="C17" s="342"/>
      <c r="D17" s="1229">
        <v>45268</v>
      </c>
      <c r="E17" s="1230"/>
      <c r="K17" s="289"/>
    </row>
    <row r="18" spans="1:13" ht="72" customHeight="1" x14ac:dyDescent="0.25">
      <c r="B18" s="638" t="s">
        <v>665</v>
      </c>
      <c r="C18" s="342"/>
      <c r="D18" s="1224" t="s">
        <v>668</v>
      </c>
      <c r="E18" s="1225"/>
      <c r="F18" s="290"/>
      <c r="K18" s="8"/>
    </row>
    <row r="19" spans="1:13" ht="72" customHeight="1" x14ac:dyDescent="0.25">
      <c r="B19" s="638" t="s">
        <v>669</v>
      </c>
      <c r="C19" s="342"/>
      <c r="D19" s="1224" t="s">
        <v>668</v>
      </c>
      <c r="E19" s="1225"/>
      <c r="F19" s="290"/>
      <c r="K19" s="8"/>
    </row>
    <row r="20" spans="1:13" ht="92.25" customHeight="1" x14ac:dyDescent="0.25">
      <c r="B20" s="638" t="s">
        <v>133</v>
      </c>
      <c r="C20" s="342"/>
      <c r="D20" s="1224" t="s">
        <v>659</v>
      </c>
      <c r="E20" s="1225"/>
      <c r="F20" s="290"/>
      <c r="K20" s="8"/>
    </row>
    <row r="21" spans="1:13" ht="45.75" customHeight="1" x14ac:dyDescent="0.25">
      <c r="B21" s="638" t="s">
        <v>655</v>
      </c>
      <c r="C21" s="342"/>
      <c r="D21" s="1224" t="s">
        <v>1416</v>
      </c>
      <c r="E21" s="1225"/>
      <c r="F21" s="290"/>
      <c r="K21" s="8"/>
    </row>
    <row r="22" spans="1:13" ht="45.75" customHeight="1" x14ac:dyDescent="0.25">
      <c r="B22" s="638" t="s">
        <v>94</v>
      </c>
      <c r="C22" s="342"/>
      <c r="D22" s="1224" t="s">
        <v>1417</v>
      </c>
      <c r="E22" s="1225"/>
      <c r="F22" s="290"/>
    </row>
    <row r="23" spans="1:13" ht="45.75" customHeight="1" x14ac:dyDescent="0.25">
      <c r="B23" s="638" t="s">
        <v>673</v>
      </c>
      <c r="C23" s="342"/>
      <c r="D23" s="1224" t="s">
        <v>720</v>
      </c>
      <c r="E23" s="1225"/>
      <c r="F23" s="290"/>
    </row>
    <row r="24" spans="1:13" ht="45.75" customHeight="1" x14ac:dyDescent="0.25">
      <c r="B24" s="638" t="s">
        <v>674</v>
      </c>
      <c r="C24" s="342"/>
      <c r="D24" s="1224" t="s">
        <v>1418</v>
      </c>
      <c r="E24" s="1225"/>
      <c r="F24" s="290"/>
    </row>
    <row r="25" spans="1:13" ht="45.75" customHeight="1" x14ac:dyDescent="0.25">
      <c r="B25" s="638" t="s">
        <v>656</v>
      </c>
      <c r="C25" s="342"/>
      <c r="D25" s="1224" t="s">
        <v>664</v>
      </c>
      <c r="E25" s="1225"/>
      <c r="F25" s="290"/>
    </row>
    <row r="26" spans="1:13" ht="45.75" customHeight="1" thickBot="1" x14ac:dyDescent="0.3">
      <c r="B26" s="638" t="s">
        <v>87</v>
      </c>
      <c r="C26" s="342"/>
      <c r="D26" s="1224" t="s">
        <v>658</v>
      </c>
      <c r="E26" s="1225"/>
      <c r="F26" s="290"/>
      <c r="K26" s="8"/>
    </row>
    <row r="27" spans="1:13" ht="45.6" customHeight="1" x14ac:dyDescent="0.25">
      <c r="B27" s="638" t="s">
        <v>670</v>
      </c>
      <c r="C27" s="342"/>
      <c r="D27" s="1224" t="s">
        <v>1419</v>
      </c>
      <c r="E27" s="1225"/>
      <c r="F27" s="478"/>
      <c r="G27" s="816" t="s">
        <v>677</v>
      </c>
      <c r="H27" s="1226" t="s">
        <v>1420</v>
      </c>
      <c r="I27" s="1227"/>
      <c r="K27" s="8"/>
    </row>
    <row r="28" spans="1:13" ht="45.6" customHeight="1" x14ac:dyDescent="0.25">
      <c r="B28" s="638" t="s">
        <v>675</v>
      </c>
      <c r="C28" s="342"/>
      <c r="D28" s="1224" t="s">
        <v>1421</v>
      </c>
      <c r="E28" s="1225"/>
      <c r="F28" s="477"/>
      <c r="G28" s="817" t="s">
        <v>678</v>
      </c>
      <c r="H28" s="829" t="s">
        <v>1422</v>
      </c>
      <c r="I28" s="830"/>
      <c r="K28" s="8"/>
    </row>
    <row r="29" spans="1:13" ht="45.6" customHeight="1" x14ac:dyDescent="0.25">
      <c r="B29" s="638" t="s">
        <v>676</v>
      </c>
      <c r="C29" s="342"/>
      <c r="D29" s="1224" t="s">
        <v>1423</v>
      </c>
      <c r="E29" s="1225"/>
      <c r="F29" s="477"/>
      <c r="G29" s="817" t="s">
        <v>679</v>
      </c>
      <c r="H29" s="829" t="s">
        <v>680</v>
      </c>
      <c r="I29" s="830"/>
      <c r="K29" s="8"/>
    </row>
    <row r="30" spans="1:13" ht="45.75" customHeight="1" thickBot="1" x14ac:dyDescent="0.3">
      <c r="B30" s="639" t="s">
        <v>173</v>
      </c>
      <c r="C30" s="342"/>
      <c r="D30" s="1222" t="s">
        <v>1424</v>
      </c>
      <c r="E30" s="1223"/>
      <c r="G30" s="818" t="s">
        <v>681</v>
      </c>
      <c r="H30" s="831" t="s">
        <v>682</v>
      </c>
      <c r="I30" s="832"/>
      <c r="K30" s="8"/>
    </row>
    <row r="31" spans="1:13" ht="45.75" customHeight="1" x14ac:dyDescent="0.25">
      <c r="H31" s="651"/>
      <c r="K31" s="8"/>
    </row>
    <row r="32" spans="1:13" s="9" customFormat="1" ht="15.75" thickBot="1" x14ac:dyDescent="0.3">
      <c r="A32" s="8"/>
      <c r="B32" s="8"/>
      <c r="C32" s="8"/>
      <c r="D32" s="8"/>
      <c r="E32" s="8"/>
      <c r="F32" s="8"/>
      <c r="G32" s="652"/>
      <c r="H32" s="8"/>
      <c r="I32" s="8"/>
      <c r="J32" s="8"/>
      <c r="K32" s="8"/>
      <c r="M32" s="8"/>
    </row>
    <row r="33" spans="1:13" s="9" customFormat="1" ht="25.5" customHeight="1" thickBot="1" x14ac:dyDescent="0.3">
      <c r="A33" s="8"/>
      <c r="B33" s="336" t="s">
        <v>103</v>
      </c>
      <c r="D33" s="641" t="s">
        <v>662</v>
      </c>
      <c r="E33" s="642" t="s">
        <v>663</v>
      </c>
      <c r="F33" s="641" t="s">
        <v>660</v>
      </c>
      <c r="G33" s="642" t="s">
        <v>661</v>
      </c>
      <c r="H33" s="642" t="s">
        <v>655</v>
      </c>
      <c r="I33" s="643" t="s">
        <v>94</v>
      </c>
      <c r="J33" s="643" t="s">
        <v>656</v>
      </c>
      <c r="K33" s="641" t="s">
        <v>87</v>
      </c>
      <c r="M33" s="8"/>
    </row>
    <row r="34" spans="1:13" s="9" customFormat="1" x14ac:dyDescent="0.25">
      <c r="A34" s="8"/>
      <c r="B34" s="335"/>
      <c r="D34" s="476"/>
      <c r="E34" s="292"/>
      <c r="F34" s="292"/>
      <c r="G34" s="292">
        <v>45230</v>
      </c>
      <c r="H34" s="292"/>
      <c r="I34" s="292"/>
      <c r="J34" s="292"/>
      <c r="K34" s="10"/>
      <c r="M34" s="8"/>
    </row>
    <row r="35" spans="1:13" s="9" customFormat="1" x14ac:dyDescent="0.25">
      <c r="A35" s="8"/>
      <c r="B35" s="335"/>
      <c r="D35" s="284"/>
      <c r="E35" s="292"/>
      <c r="F35" s="292">
        <v>45231</v>
      </c>
      <c r="G35" s="292">
        <v>45260</v>
      </c>
      <c r="H35" s="292"/>
      <c r="I35" s="292"/>
      <c r="J35" s="292"/>
      <c r="K35" s="10"/>
      <c r="M35" s="8"/>
    </row>
    <row r="36" spans="1:13" s="9" customFormat="1" x14ac:dyDescent="0.25">
      <c r="A36" s="8"/>
      <c r="B36" s="335"/>
      <c r="D36" s="284"/>
      <c r="E36" s="292"/>
      <c r="F36" s="292">
        <v>45261</v>
      </c>
      <c r="G36" s="292">
        <v>45291</v>
      </c>
      <c r="H36" s="292">
        <v>45306</v>
      </c>
      <c r="I36" s="292"/>
      <c r="J36" s="292"/>
      <c r="K36" s="10"/>
      <c r="M36" s="8"/>
    </row>
    <row r="37" spans="1:13" s="9" customFormat="1" x14ac:dyDescent="0.25">
      <c r="A37" s="8"/>
      <c r="B37" s="335"/>
      <c r="D37" s="284"/>
      <c r="E37" s="292"/>
      <c r="F37" s="292">
        <v>45292</v>
      </c>
      <c r="G37" s="292">
        <v>45322</v>
      </c>
      <c r="H37" s="292">
        <v>45336</v>
      </c>
      <c r="I37" s="292"/>
      <c r="J37" s="292"/>
      <c r="K37" s="10"/>
      <c r="M37" s="8"/>
    </row>
    <row r="38" spans="1:13" s="9" customFormat="1" x14ac:dyDescent="0.25">
      <c r="A38" s="8"/>
      <c r="B38" s="335"/>
      <c r="D38" s="284"/>
      <c r="E38" s="292"/>
      <c r="F38" s="292">
        <v>45323</v>
      </c>
      <c r="G38" s="292">
        <v>45351</v>
      </c>
      <c r="H38" s="292">
        <v>45365</v>
      </c>
      <c r="I38" s="292"/>
      <c r="J38" s="292"/>
      <c r="K38" s="10"/>
      <c r="M38" s="8"/>
    </row>
    <row r="39" spans="1:13" s="9" customFormat="1" x14ac:dyDescent="0.25">
      <c r="A39" s="8"/>
      <c r="B39" s="335">
        <v>1</v>
      </c>
      <c r="D39" s="476">
        <v>45268</v>
      </c>
      <c r="E39" s="292">
        <v>45382</v>
      </c>
      <c r="F39" s="292">
        <v>45352</v>
      </c>
      <c r="G39" s="292">
        <v>45382</v>
      </c>
      <c r="H39" s="292">
        <v>45397</v>
      </c>
      <c r="I39" s="292">
        <v>45401</v>
      </c>
      <c r="J39" s="292">
        <v>45405</v>
      </c>
      <c r="K39" s="10">
        <v>45407</v>
      </c>
      <c r="M39" s="8"/>
    </row>
    <row r="40" spans="1:13" s="9" customFormat="1" x14ac:dyDescent="0.25">
      <c r="A40" s="8"/>
      <c r="B40" s="335"/>
      <c r="D40" s="284" t="s">
        <v>657</v>
      </c>
      <c r="E40" s="292"/>
      <c r="F40" s="292">
        <v>45383</v>
      </c>
      <c r="G40" s="292">
        <v>45412</v>
      </c>
      <c r="H40" s="292">
        <v>45429</v>
      </c>
      <c r="I40" s="292" t="s">
        <v>657</v>
      </c>
      <c r="J40" s="292"/>
      <c r="K40" s="10" t="s">
        <v>657</v>
      </c>
      <c r="M40" s="8"/>
    </row>
    <row r="41" spans="1:13" s="9" customFormat="1" x14ac:dyDescent="0.25">
      <c r="A41" s="8"/>
      <c r="B41" s="335"/>
      <c r="D41" s="284" t="s">
        <v>657</v>
      </c>
      <c r="E41" s="292"/>
      <c r="F41" s="292">
        <v>45413</v>
      </c>
      <c r="G41" s="292">
        <v>45443</v>
      </c>
      <c r="H41" s="292">
        <v>45457</v>
      </c>
      <c r="I41" s="292" t="s">
        <v>657</v>
      </c>
      <c r="J41" s="292"/>
      <c r="K41" s="10" t="s">
        <v>657</v>
      </c>
      <c r="M41" s="8"/>
    </row>
    <row r="42" spans="1:13" s="9" customFormat="1" x14ac:dyDescent="0.25">
      <c r="A42" s="8"/>
      <c r="B42" s="335">
        <v>2</v>
      </c>
      <c r="D42" s="284">
        <v>45383</v>
      </c>
      <c r="E42" s="292">
        <v>45473</v>
      </c>
      <c r="F42" s="292">
        <v>45444</v>
      </c>
      <c r="G42" s="292">
        <v>45473</v>
      </c>
      <c r="H42" s="292">
        <v>45488</v>
      </c>
      <c r="I42" s="292">
        <v>45491</v>
      </c>
      <c r="J42" s="292">
        <v>45496</v>
      </c>
      <c r="K42" s="10">
        <v>45498</v>
      </c>
      <c r="M42" s="8"/>
    </row>
    <row r="43" spans="1:13" s="9" customFormat="1" x14ac:dyDescent="0.25">
      <c r="A43" s="8"/>
      <c r="B43" s="335"/>
      <c r="D43" s="284"/>
      <c r="E43" s="292" t="s">
        <v>657</v>
      </c>
      <c r="F43" s="292">
        <v>45474</v>
      </c>
      <c r="G43" s="292">
        <v>45504</v>
      </c>
      <c r="H43" s="292">
        <v>45520</v>
      </c>
      <c r="I43" s="292" t="s">
        <v>657</v>
      </c>
      <c r="J43" s="292"/>
      <c r="K43" s="10" t="s">
        <v>657</v>
      </c>
      <c r="M43" s="8"/>
    </row>
    <row r="44" spans="1:13" s="9" customFormat="1" x14ac:dyDescent="0.25">
      <c r="A44" s="8"/>
      <c r="B44" s="335"/>
      <c r="D44" s="284"/>
      <c r="E44" s="292" t="s">
        <v>657</v>
      </c>
      <c r="F44" s="292">
        <v>45505</v>
      </c>
      <c r="G44" s="292">
        <v>45535</v>
      </c>
      <c r="H44" s="292">
        <v>45548</v>
      </c>
      <c r="I44" s="292" t="s">
        <v>657</v>
      </c>
      <c r="J44" s="292"/>
      <c r="K44" s="10" t="s">
        <v>657</v>
      </c>
      <c r="M44" s="8"/>
    </row>
    <row r="45" spans="1:13" s="9" customFormat="1" x14ac:dyDescent="0.25">
      <c r="A45" s="8"/>
      <c r="B45" s="335">
        <v>3</v>
      </c>
      <c r="D45" s="284">
        <v>45474</v>
      </c>
      <c r="E45" s="292">
        <v>45565</v>
      </c>
      <c r="F45" s="292">
        <v>45536</v>
      </c>
      <c r="G45" s="292">
        <v>45565</v>
      </c>
      <c r="H45" s="292">
        <v>45580</v>
      </c>
      <c r="I45" s="292">
        <v>45583</v>
      </c>
      <c r="J45" s="292">
        <v>45588</v>
      </c>
      <c r="K45" s="10">
        <v>45590</v>
      </c>
      <c r="M45" s="8"/>
    </row>
    <row r="46" spans="1:13" s="9" customFormat="1" x14ac:dyDescent="0.25">
      <c r="A46" s="8"/>
      <c r="B46" s="335"/>
      <c r="D46" s="284"/>
      <c r="E46" s="292" t="s">
        <v>657</v>
      </c>
      <c r="F46" s="292">
        <v>45566</v>
      </c>
      <c r="G46" s="292">
        <v>45596</v>
      </c>
      <c r="H46" s="292">
        <v>45614</v>
      </c>
      <c r="I46" s="292" t="s">
        <v>657</v>
      </c>
      <c r="J46" s="292"/>
      <c r="K46" s="10" t="s">
        <v>657</v>
      </c>
      <c r="M46" s="8"/>
    </row>
    <row r="47" spans="1:13" s="9" customFormat="1" x14ac:dyDescent="0.25">
      <c r="A47" s="8"/>
      <c r="B47" s="335"/>
      <c r="D47" s="284"/>
      <c r="E47" s="292" t="s">
        <v>657</v>
      </c>
      <c r="F47" s="292">
        <v>45597</v>
      </c>
      <c r="G47" s="292">
        <v>45626</v>
      </c>
      <c r="H47" s="292">
        <v>45639</v>
      </c>
      <c r="I47" s="292" t="s">
        <v>657</v>
      </c>
      <c r="J47" s="292"/>
      <c r="K47" s="10" t="s">
        <v>657</v>
      </c>
      <c r="M47" s="8"/>
    </row>
    <row r="48" spans="1:13" s="9" customFormat="1" x14ac:dyDescent="0.25">
      <c r="A48" s="8"/>
      <c r="B48" s="335">
        <v>4</v>
      </c>
      <c r="D48" s="284">
        <v>45566</v>
      </c>
      <c r="E48" s="292">
        <v>45657</v>
      </c>
      <c r="F48" s="292">
        <v>45627</v>
      </c>
      <c r="G48" s="292">
        <v>45657</v>
      </c>
      <c r="H48" s="292">
        <v>45672</v>
      </c>
      <c r="I48" s="292">
        <v>45678</v>
      </c>
      <c r="J48" s="292">
        <v>45680</v>
      </c>
      <c r="K48" s="10">
        <v>45684</v>
      </c>
      <c r="M48" s="8"/>
    </row>
    <row r="49" spans="1:11" s="9" customFormat="1" x14ac:dyDescent="0.25">
      <c r="A49" s="8"/>
      <c r="B49" s="335"/>
      <c r="D49" s="284"/>
      <c r="E49" s="292" t="s">
        <v>657</v>
      </c>
      <c r="F49" s="292">
        <v>45658</v>
      </c>
      <c r="G49" s="292">
        <v>45688</v>
      </c>
      <c r="H49" s="292">
        <v>45702</v>
      </c>
      <c r="I49" s="292" t="s">
        <v>657</v>
      </c>
      <c r="J49" s="292"/>
      <c r="K49" s="10" t="s">
        <v>657</v>
      </c>
    </row>
    <row r="50" spans="1:11" s="9" customFormat="1" x14ac:dyDescent="0.25">
      <c r="A50" s="8"/>
      <c r="B50" s="335"/>
      <c r="D50" s="284"/>
      <c r="E50" s="292" t="s">
        <v>657</v>
      </c>
      <c r="F50" s="292">
        <v>45689</v>
      </c>
      <c r="G50" s="292">
        <v>45716</v>
      </c>
      <c r="H50" s="292">
        <v>45730</v>
      </c>
      <c r="I50" s="292" t="s">
        <v>657</v>
      </c>
      <c r="J50" s="292"/>
      <c r="K50" s="10" t="s">
        <v>657</v>
      </c>
    </row>
    <row r="51" spans="1:11" s="9" customFormat="1" x14ac:dyDescent="0.25">
      <c r="A51" s="8"/>
      <c r="B51" s="335">
        <v>5</v>
      </c>
      <c r="D51" s="284">
        <v>45658</v>
      </c>
      <c r="E51" s="292">
        <v>45747</v>
      </c>
      <c r="F51" s="292">
        <v>45717</v>
      </c>
      <c r="G51" s="292">
        <v>45747</v>
      </c>
      <c r="H51" s="292">
        <v>45762</v>
      </c>
      <c r="I51" s="292">
        <v>45769</v>
      </c>
      <c r="J51" s="292">
        <v>45770</v>
      </c>
      <c r="K51" s="10">
        <v>45772</v>
      </c>
    </row>
    <row r="52" spans="1:11" s="9" customFormat="1" x14ac:dyDescent="0.25">
      <c r="A52" s="8"/>
      <c r="B52" s="335"/>
      <c r="D52" s="284"/>
      <c r="E52" s="292" t="s">
        <v>657</v>
      </c>
      <c r="F52" s="292">
        <v>45748</v>
      </c>
      <c r="G52" s="292">
        <v>45777</v>
      </c>
      <c r="H52" s="292">
        <v>45793</v>
      </c>
      <c r="I52" s="292" t="s">
        <v>657</v>
      </c>
      <c r="J52" s="292"/>
      <c r="K52" s="10" t="s">
        <v>657</v>
      </c>
    </row>
    <row r="53" spans="1:11" s="9" customFormat="1" x14ac:dyDescent="0.25">
      <c r="A53" s="8"/>
      <c r="B53" s="335"/>
      <c r="D53" s="284"/>
      <c r="E53" s="292" t="s">
        <v>657</v>
      </c>
      <c r="F53" s="292">
        <v>45778</v>
      </c>
      <c r="G53" s="292">
        <v>45808</v>
      </c>
      <c r="H53" s="292">
        <v>45824</v>
      </c>
      <c r="I53" s="292" t="s">
        <v>657</v>
      </c>
      <c r="J53" s="292"/>
      <c r="K53" s="10" t="s">
        <v>657</v>
      </c>
    </row>
    <row r="54" spans="1:11" s="9" customFormat="1" x14ac:dyDescent="0.25">
      <c r="A54" s="8"/>
      <c r="B54" s="335">
        <v>6</v>
      </c>
      <c r="D54" s="284">
        <v>45748</v>
      </c>
      <c r="E54" s="292">
        <v>45838</v>
      </c>
      <c r="F54" s="292">
        <v>45809</v>
      </c>
      <c r="G54" s="292">
        <v>45838</v>
      </c>
      <c r="H54" s="292">
        <v>45854</v>
      </c>
      <c r="I54" s="292">
        <v>45859</v>
      </c>
      <c r="J54" s="292">
        <v>45861</v>
      </c>
      <c r="K54" s="10">
        <v>45863</v>
      </c>
    </row>
    <row r="55" spans="1:11" s="9" customFormat="1" x14ac:dyDescent="0.25">
      <c r="A55" s="8"/>
      <c r="B55" s="335"/>
      <c r="D55" s="284"/>
      <c r="E55" s="292" t="s">
        <v>657</v>
      </c>
      <c r="F55" s="292">
        <v>45839</v>
      </c>
      <c r="G55" s="292">
        <v>45869</v>
      </c>
      <c r="H55" s="292">
        <v>45887</v>
      </c>
      <c r="I55" s="292" t="s">
        <v>657</v>
      </c>
      <c r="J55" s="292"/>
      <c r="K55" s="10" t="s">
        <v>657</v>
      </c>
    </row>
    <row r="56" spans="1:11" s="9" customFormat="1" x14ac:dyDescent="0.25">
      <c r="A56" s="8"/>
      <c r="B56" s="335"/>
      <c r="D56" s="284"/>
      <c r="E56" s="292" t="s">
        <v>657</v>
      </c>
      <c r="F56" s="292">
        <v>45870</v>
      </c>
      <c r="G56" s="292">
        <v>45900</v>
      </c>
      <c r="H56" s="292">
        <v>45915</v>
      </c>
      <c r="I56" s="292" t="s">
        <v>657</v>
      </c>
      <c r="J56" s="292"/>
      <c r="K56" s="10" t="s">
        <v>657</v>
      </c>
    </row>
    <row r="57" spans="1:11" s="9" customFormat="1" x14ac:dyDescent="0.25">
      <c r="A57" s="8"/>
      <c r="B57" s="335">
        <v>7</v>
      </c>
      <c r="D57" s="284">
        <v>45839</v>
      </c>
      <c r="E57" s="292">
        <v>45930</v>
      </c>
      <c r="F57" s="292">
        <v>45901</v>
      </c>
      <c r="G57" s="292">
        <v>45930</v>
      </c>
      <c r="H57" s="292">
        <v>45945</v>
      </c>
      <c r="I57" s="292">
        <v>45950</v>
      </c>
      <c r="J57" s="292">
        <v>45953</v>
      </c>
      <c r="K57" s="10">
        <v>45957</v>
      </c>
    </row>
    <row r="58" spans="1:11" s="9" customFormat="1" x14ac:dyDescent="0.25">
      <c r="A58" s="8"/>
      <c r="B58" s="335"/>
      <c r="D58" s="284"/>
      <c r="E58" s="292" t="s">
        <v>657</v>
      </c>
      <c r="F58" s="292">
        <v>45931</v>
      </c>
      <c r="G58" s="292">
        <v>45961</v>
      </c>
      <c r="H58" s="292">
        <v>45978</v>
      </c>
      <c r="I58" s="292" t="s">
        <v>657</v>
      </c>
      <c r="J58" s="292"/>
      <c r="K58" s="10" t="s">
        <v>657</v>
      </c>
    </row>
    <row r="59" spans="1:11" s="9" customFormat="1" x14ac:dyDescent="0.25">
      <c r="A59" s="8"/>
      <c r="B59" s="335"/>
      <c r="D59" s="284"/>
      <c r="E59" s="292" t="s">
        <v>657</v>
      </c>
      <c r="F59" s="292">
        <v>45962</v>
      </c>
      <c r="G59" s="292">
        <v>45991</v>
      </c>
      <c r="H59" s="292">
        <v>46006</v>
      </c>
      <c r="I59" s="292" t="s">
        <v>657</v>
      </c>
      <c r="J59" s="292"/>
      <c r="K59" s="10" t="s">
        <v>657</v>
      </c>
    </row>
    <row r="60" spans="1:11" s="9" customFormat="1" x14ac:dyDescent="0.25">
      <c r="A60" s="8"/>
      <c r="B60" s="335">
        <v>8</v>
      </c>
      <c r="D60" s="284">
        <v>45931</v>
      </c>
      <c r="E60" s="292">
        <v>46022</v>
      </c>
      <c r="F60" s="292">
        <v>45992</v>
      </c>
      <c r="G60" s="292">
        <v>46022</v>
      </c>
      <c r="H60" s="292">
        <v>46037</v>
      </c>
      <c r="I60" s="292">
        <v>46043</v>
      </c>
      <c r="J60" s="292">
        <v>46045</v>
      </c>
      <c r="K60" s="10">
        <v>46049</v>
      </c>
    </row>
    <row r="61" spans="1:11" s="9" customFormat="1" x14ac:dyDescent="0.25">
      <c r="A61" s="8"/>
      <c r="B61" s="335"/>
      <c r="D61" s="284"/>
      <c r="E61" s="292" t="s">
        <v>657</v>
      </c>
      <c r="F61" s="292">
        <v>46023</v>
      </c>
      <c r="G61" s="292">
        <v>46053</v>
      </c>
      <c r="H61" s="292">
        <v>46066</v>
      </c>
      <c r="I61" s="292" t="s">
        <v>657</v>
      </c>
      <c r="J61" s="292"/>
      <c r="K61" s="10" t="s">
        <v>657</v>
      </c>
    </row>
    <row r="62" spans="1:11" s="9" customFormat="1" x14ac:dyDescent="0.25">
      <c r="A62" s="8"/>
      <c r="B62" s="335"/>
      <c r="D62" s="284"/>
      <c r="E62" s="292" t="s">
        <v>657</v>
      </c>
      <c r="F62" s="292">
        <v>46054</v>
      </c>
      <c r="G62" s="292">
        <v>46081</v>
      </c>
      <c r="H62" s="292">
        <v>46094</v>
      </c>
      <c r="I62" s="292" t="s">
        <v>657</v>
      </c>
      <c r="J62" s="292"/>
      <c r="K62" s="10" t="s">
        <v>657</v>
      </c>
    </row>
    <row r="63" spans="1:11" s="9" customFormat="1" x14ac:dyDescent="0.25">
      <c r="A63" s="8"/>
      <c r="B63" s="335">
        <v>9</v>
      </c>
      <c r="D63" s="284">
        <v>46023</v>
      </c>
      <c r="E63" s="292">
        <v>46112</v>
      </c>
      <c r="F63" s="292">
        <v>46082</v>
      </c>
      <c r="G63" s="292">
        <v>46112</v>
      </c>
      <c r="H63" s="292">
        <v>46129</v>
      </c>
      <c r="I63" s="292">
        <v>46134</v>
      </c>
      <c r="J63" s="292">
        <v>46135</v>
      </c>
      <c r="K63" s="10">
        <v>46139</v>
      </c>
    </row>
    <row r="64" spans="1:11" s="9" customFormat="1" x14ac:dyDescent="0.25">
      <c r="A64" s="8"/>
      <c r="B64" s="335"/>
      <c r="D64" s="284"/>
      <c r="E64" s="292" t="s">
        <v>657</v>
      </c>
      <c r="F64" s="292">
        <v>46113</v>
      </c>
      <c r="G64" s="292">
        <v>46142</v>
      </c>
      <c r="H64" s="292">
        <v>46161</v>
      </c>
      <c r="I64" s="292" t="s">
        <v>657</v>
      </c>
      <c r="J64" s="292"/>
      <c r="K64" s="10" t="s">
        <v>657</v>
      </c>
    </row>
    <row r="65" spans="1:11" s="9" customFormat="1" x14ac:dyDescent="0.25">
      <c r="A65" s="8"/>
      <c r="B65" s="335"/>
      <c r="D65" s="284"/>
      <c r="E65" s="292" t="s">
        <v>657</v>
      </c>
      <c r="F65" s="292">
        <v>46143</v>
      </c>
      <c r="G65" s="292">
        <v>46173</v>
      </c>
      <c r="H65" s="292">
        <v>46188</v>
      </c>
      <c r="I65" s="292" t="s">
        <v>657</v>
      </c>
      <c r="J65" s="292"/>
      <c r="K65" s="10" t="s">
        <v>657</v>
      </c>
    </row>
    <row r="66" spans="1:11" s="9" customFormat="1" x14ac:dyDescent="0.25">
      <c r="A66" s="8"/>
      <c r="B66" s="335">
        <v>10</v>
      </c>
      <c r="D66" s="284">
        <v>46113</v>
      </c>
      <c r="E66" s="292">
        <v>46203</v>
      </c>
      <c r="F66" s="292">
        <v>46174</v>
      </c>
      <c r="G66" s="292">
        <v>46203</v>
      </c>
      <c r="H66" s="292">
        <v>46219</v>
      </c>
      <c r="I66" s="292">
        <v>46224</v>
      </c>
      <c r="J66" s="292">
        <v>46226</v>
      </c>
      <c r="K66" s="10">
        <v>46230</v>
      </c>
    </row>
    <row r="67" spans="1:11" s="9" customFormat="1" x14ac:dyDescent="0.25">
      <c r="A67" s="8"/>
      <c r="B67" s="335"/>
      <c r="D67" s="284"/>
      <c r="E67" s="292" t="s">
        <v>657</v>
      </c>
      <c r="F67" s="292">
        <v>46204</v>
      </c>
      <c r="G67" s="292">
        <v>46234</v>
      </c>
      <c r="H67" s="292">
        <v>46248</v>
      </c>
      <c r="I67" s="292" t="s">
        <v>657</v>
      </c>
      <c r="J67" s="292"/>
      <c r="K67" s="10" t="s">
        <v>657</v>
      </c>
    </row>
    <row r="68" spans="1:11" s="9" customFormat="1" x14ac:dyDescent="0.25">
      <c r="A68" s="8"/>
      <c r="B68" s="335"/>
      <c r="D68" s="284"/>
      <c r="E68" s="292" t="s">
        <v>657</v>
      </c>
      <c r="F68" s="292">
        <v>46235</v>
      </c>
      <c r="G68" s="292">
        <v>46265</v>
      </c>
      <c r="H68" s="292">
        <v>46280</v>
      </c>
      <c r="I68" s="292" t="s">
        <v>657</v>
      </c>
      <c r="J68" s="292"/>
      <c r="K68" s="10" t="s">
        <v>657</v>
      </c>
    </row>
    <row r="69" spans="1:11" s="9" customFormat="1" x14ac:dyDescent="0.25">
      <c r="A69" s="8"/>
      <c r="B69" s="335">
        <v>11</v>
      </c>
      <c r="D69" s="284">
        <v>46204</v>
      </c>
      <c r="E69" s="292">
        <v>46295</v>
      </c>
      <c r="F69" s="292">
        <v>46266</v>
      </c>
      <c r="G69" s="292">
        <v>46295</v>
      </c>
      <c r="H69" s="292">
        <v>46310</v>
      </c>
      <c r="I69" s="292">
        <v>46315</v>
      </c>
      <c r="J69" s="292">
        <v>46318</v>
      </c>
      <c r="K69" s="10">
        <v>46322</v>
      </c>
    </row>
    <row r="70" spans="1:11" s="9" customFormat="1" x14ac:dyDescent="0.25">
      <c r="A70" s="8"/>
      <c r="B70" s="335"/>
      <c r="D70" s="284"/>
      <c r="E70" s="292" t="s">
        <v>657</v>
      </c>
      <c r="F70" s="292">
        <v>46296</v>
      </c>
      <c r="G70" s="292">
        <v>46326</v>
      </c>
      <c r="H70" s="292">
        <v>46342</v>
      </c>
      <c r="I70" s="292" t="s">
        <v>657</v>
      </c>
      <c r="J70" s="292"/>
      <c r="K70" s="10" t="s">
        <v>657</v>
      </c>
    </row>
    <row r="71" spans="1:11" s="9" customFormat="1" x14ac:dyDescent="0.25">
      <c r="A71" s="8"/>
      <c r="B71" s="335"/>
      <c r="D71" s="284"/>
      <c r="E71" s="292" t="s">
        <v>657</v>
      </c>
      <c r="F71" s="292">
        <v>46327</v>
      </c>
      <c r="G71" s="292">
        <v>46356</v>
      </c>
      <c r="H71" s="292">
        <v>46371</v>
      </c>
      <c r="I71" s="292" t="s">
        <v>657</v>
      </c>
      <c r="J71" s="292"/>
      <c r="K71" s="10" t="s">
        <v>657</v>
      </c>
    </row>
    <row r="72" spans="1:11" s="9" customFormat="1" x14ac:dyDescent="0.25">
      <c r="A72" s="8"/>
      <c r="B72" s="335">
        <v>12</v>
      </c>
      <c r="D72" s="284">
        <v>46296</v>
      </c>
      <c r="E72" s="292">
        <v>46387</v>
      </c>
      <c r="F72" s="292">
        <v>46357</v>
      </c>
      <c r="G72" s="292">
        <v>46387</v>
      </c>
      <c r="H72" s="292">
        <v>46402</v>
      </c>
      <c r="I72" s="292">
        <v>46408</v>
      </c>
      <c r="J72" s="292">
        <v>46412</v>
      </c>
      <c r="K72" s="10">
        <v>46414</v>
      </c>
    </row>
    <row r="73" spans="1:11" s="9" customFormat="1" x14ac:dyDescent="0.25">
      <c r="A73" s="8"/>
      <c r="B73" s="335"/>
      <c r="D73" s="284"/>
      <c r="E73" s="292" t="s">
        <v>657</v>
      </c>
      <c r="F73" s="292">
        <v>46388</v>
      </c>
      <c r="G73" s="292">
        <v>46418</v>
      </c>
      <c r="H73" s="292">
        <v>46433</v>
      </c>
      <c r="I73" s="292" t="s">
        <v>657</v>
      </c>
      <c r="J73" s="292"/>
      <c r="K73" s="10" t="s">
        <v>657</v>
      </c>
    </row>
    <row r="74" spans="1:11" s="9" customFormat="1" x14ac:dyDescent="0.25">
      <c r="A74" s="8"/>
      <c r="B74" s="335"/>
      <c r="D74" s="284"/>
      <c r="E74" s="292" t="s">
        <v>657</v>
      </c>
      <c r="F74" s="292">
        <v>46419</v>
      </c>
      <c r="G74" s="292">
        <v>46446</v>
      </c>
      <c r="H74" s="292">
        <v>46461</v>
      </c>
      <c r="I74" s="292" t="s">
        <v>657</v>
      </c>
      <c r="J74" s="292"/>
      <c r="K74" s="10" t="s">
        <v>657</v>
      </c>
    </row>
    <row r="75" spans="1:11" s="9" customFormat="1" x14ac:dyDescent="0.25">
      <c r="A75" s="8"/>
      <c r="B75" s="335">
        <v>13</v>
      </c>
      <c r="D75" s="284">
        <v>46388</v>
      </c>
      <c r="E75" s="292">
        <v>46477</v>
      </c>
      <c r="F75" s="292">
        <v>46447</v>
      </c>
      <c r="G75" s="292">
        <v>46477</v>
      </c>
      <c r="H75" s="292">
        <v>46492</v>
      </c>
      <c r="I75" s="292">
        <v>46497</v>
      </c>
      <c r="J75" s="292">
        <v>46500</v>
      </c>
      <c r="K75" s="10">
        <v>46504</v>
      </c>
    </row>
    <row r="76" spans="1:11" x14ac:dyDescent="0.25">
      <c r="B76" s="335"/>
      <c r="D76" s="284"/>
      <c r="E76" s="292" t="s">
        <v>657</v>
      </c>
      <c r="F76" s="292">
        <v>46478</v>
      </c>
      <c r="G76" s="292">
        <v>46507</v>
      </c>
      <c r="H76" s="292">
        <v>46525</v>
      </c>
      <c r="I76" s="292" t="s">
        <v>657</v>
      </c>
      <c r="J76" s="292"/>
      <c r="K76" s="10" t="s">
        <v>657</v>
      </c>
    </row>
    <row r="77" spans="1:11" x14ac:dyDescent="0.25">
      <c r="B77" s="335"/>
      <c r="D77" s="284"/>
      <c r="E77" s="292" t="s">
        <v>657</v>
      </c>
      <c r="F77" s="292">
        <v>46508</v>
      </c>
      <c r="G77" s="292">
        <v>46538</v>
      </c>
      <c r="H77" s="292">
        <v>46553</v>
      </c>
      <c r="I77" s="292" t="s">
        <v>657</v>
      </c>
      <c r="J77" s="292"/>
      <c r="K77" s="10" t="s">
        <v>657</v>
      </c>
    </row>
    <row r="78" spans="1:11" x14ac:dyDescent="0.25">
      <c r="B78" s="335">
        <v>14</v>
      </c>
      <c r="D78" s="284">
        <v>46478</v>
      </c>
      <c r="E78" s="292">
        <v>46568</v>
      </c>
      <c r="F78" s="292">
        <v>46539</v>
      </c>
      <c r="G78" s="292">
        <v>46568</v>
      </c>
      <c r="H78" s="292">
        <v>46584</v>
      </c>
      <c r="I78" s="292">
        <v>46589</v>
      </c>
      <c r="J78" s="292">
        <v>46591</v>
      </c>
      <c r="K78" s="10">
        <v>46595</v>
      </c>
    </row>
    <row r="79" spans="1:11" x14ac:dyDescent="0.25">
      <c r="B79" s="335"/>
      <c r="D79" s="284"/>
      <c r="E79" s="292" t="s">
        <v>657</v>
      </c>
      <c r="F79" s="292">
        <v>46569</v>
      </c>
      <c r="G79" s="292">
        <v>46599</v>
      </c>
      <c r="H79" s="292">
        <v>46612</v>
      </c>
      <c r="I79" s="292" t="s">
        <v>657</v>
      </c>
      <c r="J79" s="292"/>
      <c r="K79" s="10" t="s">
        <v>657</v>
      </c>
    </row>
    <row r="80" spans="1:11" x14ac:dyDescent="0.25">
      <c r="B80" s="335"/>
      <c r="D80" s="284"/>
      <c r="E80" s="292" t="s">
        <v>657</v>
      </c>
      <c r="F80" s="292">
        <v>46600</v>
      </c>
      <c r="G80" s="292">
        <v>46630</v>
      </c>
      <c r="H80" s="292">
        <v>46645</v>
      </c>
      <c r="I80" s="292" t="s">
        <v>657</v>
      </c>
      <c r="J80" s="292"/>
      <c r="K80" s="10" t="s">
        <v>657</v>
      </c>
    </row>
    <row r="81" spans="2:11" x14ac:dyDescent="0.25">
      <c r="B81" s="335">
        <v>15</v>
      </c>
      <c r="D81" s="284">
        <v>46569</v>
      </c>
      <c r="E81" s="292">
        <v>46660</v>
      </c>
      <c r="F81" s="292">
        <v>46631</v>
      </c>
      <c r="G81" s="292">
        <v>46660</v>
      </c>
      <c r="H81" s="292">
        <v>46675</v>
      </c>
      <c r="I81" s="292">
        <v>46680</v>
      </c>
      <c r="J81" s="292">
        <v>46685</v>
      </c>
      <c r="K81" s="10">
        <v>46687</v>
      </c>
    </row>
    <row r="82" spans="2:11" x14ac:dyDescent="0.25">
      <c r="B82" s="335"/>
      <c r="D82" s="284"/>
      <c r="E82" s="292" t="s">
        <v>657</v>
      </c>
      <c r="F82" s="292">
        <v>46661</v>
      </c>
      <c r="G82" s="292">
        <v>46691</v>
      </c>
      <c r="H82" s="292">
        <v>46707</v>
      </c>
      <c r="I82" s="292" t="s">
        <v>657</v>
      </c>
      <c r="J82" s="292"/>
      <c r="K82" s="10" t="s">
        <v>657</v>
      </c>
    </row>
    <row r="83" spans="2:11" x14ac:dyDescent="0.25">
      <c r="B83" s="335"/>
      <c r="D83" s="284"/>
      <c r="E83" s="292" t="s">
        <v>657</v>
      </c>
      <c r="F83" s="292">
        <v>46692</v>
      </c>
      <c r="G83" s="292">
        <v>46721</v>
      </c>
      <c r="H83" s="292">
        <v>46736</v>
      </c>
      <c r="I83" s="292" t="s">
        <v>657</v>
      </c>
      <c r="J83" s="292"/>
      <c r="K83" s="10" t="s">
        <v>657</v>
      </c>
    </row>
    <row r="84" spans="2:11" x14ac:dyDescent="0.25">
      <c r="B84" s="335">
        <v>16</v>
      </c>
      <c r="D84" s="284">
        <v>46661</v>
      </c>
      <c r="E84" s="292">
        <v>46752</v>
      </c>
      <c r="F84" s="292">
        <v>46722</v>
      </c>
      <c r="G84" s="292">
        <v>46752</v>
      </c>
      <c r="H84" s="292">
        <v>46766</v>
      </c>
      <c r="I84" s="292">
        <v>46772</v>
      </c>
      <c r="J84" s="292">
        <v>46776</v>
      </c>
      <c r="K84" s="10">
        <v>46778</v>
      </c>
    </row>
    <row r="85" spans="2:11" x14ac:dyDescent="0.25">
      <c r="B85" s="335"/>
      <c r="D85" s="284"/>
      <c r="E85" s="292" t="s">
        <v>657</v>
      </c>
      <c r="F85" s="292">
        <v>46753</v>
      </c>
      <c r="G85" s="292">
        <v>46783</v>
      </c>
      <c r="H85" s="292">
        <v>46798</v>
      </c>
      <c r="I85" s="292" t="s">
        <v>657</v>
      </c>
      <c r="J85" s="292"/>
      <c r="K85" s="10" t="s">
        <v>657</v>
      </c>
    </row>
    <row r="86" spans="2:11" x14ac:dyDescent="0.25">
      <c r="B86" s="335"/>
      <c r="D86" s="284"/>
      <c r="E86" s="292" t="s">
        <v>657</v>
      </c>
      <c r="F86" s="292">
        <v>46784</v>
      </c>
      <c r="G86" s="292">
        <v>46812</v>
      </c>
      <c r="H86" s="292">
        <v>46827</v>
      </c>
      <c r="I86" s="292" t="s">
        <v>657</v>
      </c>
      <c r="J86" s="292"/>
      <c r="K86" s="10" t="s">
        <v>657</v>
      </c>
    </row>
    <row r="87" spans="2:11" x14ac:dyDescent="0.25">
      <c r="B87" s="335">
        <v>17</v>
      </c>
      <c r="D87" s="284">
        <v>46753</v>
      </c>
      <c r="E87" s="292">
        <v>46843</v>
      </c>
      <c r="F87" s="292">
        <v>46813</v>
      </c>
      <c r="G87" s="292">
        <v>46843</v>
      </c>
      <c r="H87" s="292">
        <v>46861</v>
      </c>
      <c r="I87" s="292">
        <v>46867</v>
      </c>
      <c r="J87" s="292">
        <v>46867</v>
      </c>
      <c r="K87" s="10">
        <v>46869</v>
      </c>
    </row>
    <row r="88" spans="2:11" x14ac:dyDescent="0.25">
      <c r="B88" s="335"/>
      <c r="D88" s="284"/>
      <c r="E88" s="292" t="s">
        <v>657</v>
      </c>
      <c r="F88" s="292">
        <v>46844</v>
      </c>
      <c r="G88" s="292">
        <v>46873</v>
      </c>
      <c r="H88" s="292">
        <v>46889</v>
      </c>
      <c r="I88" s="292" t="s">
        <v>657</v>
      </c>
      <c r="J88" s="292"/>
      <c r="K88" s="10" t="s">
        <v>657</v>
      </c>
    </row>
    <row r="89" spans="2:11" x14ac:dyDescent="0.25">
      <c r="B89" s="335"/>
      <c r="D89" s="284"/>
      <c r="E89" s="292" t="s">
        <v>657</v>
      </c>
      <c r="F89" s="292">
        <v>46874</v>
      </c>
      <c r="G89" s="292">
        <v>46904</v>
      </c>
      <c r="H89" s="292">
        <v>46920</v>
      </c>
      <c r="I89" s="292" t="s">
        <v>657</v>
      </c>
      <c r="J89" s="292"/>
      <c r="K89" s="10" t="s">
        <v>657</v>
      </c>
    </row>
    <row r="90" spans="2:11" x14ac:dyDescent="0.25">
      <c r="B90" s="335">
        <v>18</v>
      </c>
      <c r="D90" s="284">
        <v>46844</v>
      </c>
      <c r="E90" s="292">
        <v>46934</v>
      </c>
      <c r="F90" s="292">
        <v>46905</v>
      </c>
      <c r="G90" s="292">
        <v>46934</v>
      </c>
      <c r="H90" s="292">
        <v>46951</v>
      </c>
      <c r="I90" s="292">
        <v>46955</v>
      </c>
      <c r="J90" s="292">
        <v>46958</v>
      </c>
      <c r="K90" s="10">
        <v>46960</v>
      </c>
    </row>
    <row r="91" spans="2:11" x14ac:dyDescent="0.25">
      <c r="B91" s="335"/>
      <c r="D91" s="284"/>
      <c r="E91" s="292" t="s">
        <v>657</v>
      </c>
      <c r="F91" s="292">
        <v>46935</v>
      </c>
      <c r="G91" s="292">
        <v>46965</v>
      </c>
      <c r="H91" s="292">
        <v>46981</v>
      </c>
      <c r="I91" s="292" t="s">
        <v>657</v>
      </c>
      <c r="J91" s="292"/>
      <c r="K91" s="10" t="s">
        <v>657</v>
      </c>
    </row>
    <row r="92" spans="2:11" x14ac:dyDescent="0.25">
      <c r="B92" s="335"/>
      <c r="D92" s="284"/>
      <c r="E92" s="292" t="s">
        <v>657</v>
      </c>
      <c r="F92" s="292">
        <v>46966</v>
      </c>
      <c r="G92" s="292">
        <v>46996</v>
      </c>
      <c r="H92" s="292">
        <v>47011</v>
      </c>
      <c r="I92" s="292" t="s">
        <v>657</v>
      </c>
      <c r="J92" s="292"/>
      <c r="K92" s="10" t="s">
        <v>657</v>
      </c>
    </row>
    <row r="93" spans="2:11" x14ac:dyDescent="0.25">
      <c r="B93" s="335">
        <v>19</v>
      </c>
      <c r="D93" s="284">
        <v>46935</v>
      </c>
      <c r="E93" s="292">
        <v>47026</v>
      </c>
      <c r="F93" s="292">
        <v>46997</v>
      </c>
      <c r="G93" s="292">
        <v>47026</v>
      </c>
      <c r="H93" s="292">
        <v>47039</v>
      </c>
      <c r="I93" s="292">
        <v>47045</v>
      </c>
      <c r="J93" s="292">
        <v>47049</v>
      </c>
      <c r="K93" s="10">
        <v>47051</v>
      </c>
    </row>
    <row r="94" spans="2:11" x14ac:dyDescent="0.25">
      <c r="B94" s="335"/>
      <c r="D94" s="284"/>
      <c r="E94" s="292" t="s">
        <v>657</v>
      </c>
      <c r="F94" s="292">
        <v>47027</v>
      </c>
      <c r="G94" s="292">
        <v>47057</v>
      </c>
      <c r="H94" s="292">
        <v>47072</v>
      </c>
      <c r="I94" s="292" t="s">
        <v>657</v>
      </c>
      <c r="J94" s="292"/>
      <c r="K94" s="10" t="s">
        <v>657</v>
      </c>
    </row>
    <row r="95" spans="2:11" x14ac:dyDescent="0.25">
      <c r="B95" s="335"/>
      <c r="D95" s="284"/>
      <c r="E95" s="292" t="s">
        <v>657</v>
      </c>
      <c r="F95" s="292">
        <v>47058</v>
      </c>
      <c r="G95" s="292">
        <v>47087</v>
      </c>
      <c r="H95" s="292">
        <v>47102</v>
      </c>
      <c r="I95" s="292" t="s">
        <v>657</v>
      </c>
      <c r="J95" s="292"/>
      <c r="K95" s="10" t="s">
        <v>657</v>
      </c>
    </row>
    <row r="96" spans="2:11" x14ac:dyDescent="0.25">
      <c r="B96" s="335">
        <v>20</v>
      </c>
      <c r="D96" s="284">
        <v>47027</v>
      </c>
      <c r="E96" s="292">
        <v>47118</v>
      </c>
      <c r="F96" s="292">
        <v>47088</v>
      </c>
      <c r="G96" s="292">
        <v>47118</v>
      </c>
      <c r="H96" s="292">
        <v>47133</v>
      </c>
      <c r="I96" s="292">
        <v>47137</v>
      </c>
      <c r="J96" s="292">
        <v>47141</v>
      </c>
      <c r="K96" s="10">
        <v>47143</v>
      </c>
    </row>
    <row r="97" spans="2:11" x14ac:dyDescent="0.25">
      <c r="B97" s="335"/>
      <c r="D97" s="284"/>
      <c r="E97" s="292" t="s">
        <v>657</v>
      </c>
      <c r="F97" s="292">
        <v>47119</v>
      </c>
      <c r="G97" s="292">
        <v>47149</v>
      </c>
      <c r="H97" s="292">
        <v>47164</v>
      </c>
      <c r="I97" s="292" t="s">
        <v>657</v>
      </c>
      <c r="J97" s="292"/>
      <c r="K97" s="10" t="s">
        <v>657</v>
      </c>
    </row>
    <row r="98" spans="2:11" x14ac:dyDescent="0.25">
      <c r="B98" s="335"/>
      <c r="D98" s="284"/>
      <c r="E98" s="292" t="s">
        <v>657</v>
      </c>
      <c r="F98" s="292">
        <v>47150</v>
      </c>
      <c r="G98" s="292">
        <v>47177</v>
      </c>
      <c r="H98" s="292">
        <v>47192</v>
      </c>
      <c r="I98" s="292" t="s">
        <v>657</v>
      </c>
      <c r="J98" s="292"/>
      <c r="K98" s="10" t="s">
        <v>657</v>
      </c>
    </row>
    <row r="99" spans="2:11" x14ac:dyDescent="0.25">
      <c r="B99" s="335">
        <v>21</v>
      </c>
      <c r="D99" s="284">
        <v>47119</v>
      </c>
      <c r="E99" s="292">
        <v>47208</v>
      </c>
      <c r="F99" s="292">
        <v>47178</v>
      </c>
      <c r="G99" s="292">
        <v>47208</v>
      </c>
      <c r="H99" s="292">
        <v>47224</v>
      </c>
      <c r="I99" s="292">
        <v>47228</v>
      </c>
      <c r="J99" s="292">
        <v>47231</v>
      </c>
      <c r="K99" s="10">
        <v>47233</v>
      </c>
    </row>
    <row r="100" spans="2:11" x14ac:dyDescent="0.25">
      <c r="B100" s="335"/>
      <c r="D100" s="284"/>
      <c r="E100" s="292" t="s">
        <v>657</v>
      </c>
      <c r="F100" s="292">
        <v>47209</v>
      </c>
      <c r="G100" s="292">
        <v>47238</v>
      </c>
      <c r="H100" s="292">
        <v>47255</v>
      </c>
      <c r="I100" s="292" t="s">
        <v>657</v>
      </c>
      <c r="J100" s="292"/>
      <c r="K100" s="10" t="s">
        <v>657</v>
      </c>
    </row>
    <row r="101" spans="2:11" x14ac:dyDescent="0.25">
      <c r="B101" s="335"/>
      <c r="D101" s="284"/>
      <c r="E101" s="292" t="s">
        <v>657</v>
      </c>
      <c r="F101" s="292">
        <v>47239</v>
      </c>
      <c r="G101" s="292">
        <v>47269</v>
      </c>
      <c r="H101" s="292">
        <v>47284</v>
      </c>
      <c r="I101" s="292" t="s">
        <v>657</v>
      </c>
      <c r="J101" s="292"/>
      <c r="K101" s="10" t="s">
        <v>657</v>
      </c>
    </row>
    <row r="102" spans="2:11" x14ac:dyDescent="0.25">
      <c r="B102" s="335">
        <v>22</v>
      </c>
      <c r="D102" s="284">
        <v>47209</v>
      </c>
      <c r="E102" s="292">
        <v>47299</v>
      </c>
      <c r="F102" s="292">
        <v>47270</v>
      </c>
      <c r="G102" s="292">
        <v>47299</v>
      </c>
      <c r="H102" s="292">
        <v>47312</v>
      </c>
      <c r="I102" s="292">
        <v>47318</v>
      </c>
      <c r="J102" s="292">
        <v>47322</v>
      </c>
      <c r="K102" s="10">
        <v>47324</v>
      </c>
    </row>
    <row r="103" spans="2:11" x14ac:dyDescent="0.25">
      <c r="B103" s="335"/>
      <c r="D103" s="284"/>
      <c r="E103" s="292" t="s">
        <v>657</v>
      </c>
      <c r="F103" s="292">
        <v>47300</v>
      </c>
      <c r="G103" s="292">
        <v>47330</v>
      </c>
      <c r="H103" s="292">
        <v>47346</v>
      </c>
      <c r="I103" s="292" t="s">
        <v>657</v>
      </c>
      <c r="J103" s="292"/>
      <c r="K103" s="10" t="s">
        <v>657</v>
      </c>
    </row>
    <row r="104" spans="2:11" x14ac:dyDescent="0.25">
      <c r="B104" s="335"/>
      <c r="D104" s="284"/>
      <c r="E104" s="292" t="s">
        <v>657</v>
      </c>
      <c r="F104" s="292">
        <v>47331</v>
      </c>
      <c r="G104" s="292">
        <v>47361</v>
      </c>
      <c r="H104" s="292">
        <v>47375</v>
      </c>
      <c r="I104" s="292" t="s">
        <v>657</v>
      </c>
      <c r="J104" s="292"/>
      <c r="K104" s="10" t="s">
        <v>657</v>
      </c>
    </row>
    <row r="105" spans="2:11" x14ac:dyDescent="0.25">
      <c r="B105" s="335">
        <v>23</v>
      </c>
      <c r="D105" s="284">
        <v>47300</v>
      </c>
      <c r="E105" s="292">
        <v>47391</v>
      </c>
      <c r="F105" s="292">
        <v>47362</v>
      </c>
      <c r="G105" s="292">
        <v>47391</v>
      </c>
      <c r="H105" s="292">
        <v>47406</v>
      </c>
      <c r="I105" s="292">
        <v>47409</v>
      </c>
      <c r="J105" s="292">
        <v>47414</v>
      </c>
      <c r="K105" s="10">
        <v>47416</v>
      </c>
    </row>
    <row r="106" spans="2:11" x14ac:dyDescent="0.25">
      <c r="B106" s="335"/>
      <c r="D106" s="284"/>
      <c r="E106" s="292" t="s">
        <v>657</v>
      </c>
      <c r="F106" s="292">
        <v>47392</v>
      </c>
      <c r="G106" s="292">
        <v>47422</v>
      </c>
      <c r="H106" s="292">
        <v>47437</v>
      </c>
      <c r="I106" s="292" t="s">
        <v>657</v>
      </c>
      <c r="J106" s="292"/>
      <c r="K106" s="10" t="s">
        <v>657</v>
      </c>
    </row>
    <row r="107" spans="2:11" x14ac:dyDescent="0.25">
      <c r="B107" s="335"/>
      <c r="D107" s="284"/>
      <c r="E107" s="292" t="s">
        <v>657</v>
      </c>
      <c r="F107" s="292">
        <v>47423</v>
      </c>
      <c r="G107" s="292">
        <v>47452</v>
      </c>
      <c r="H107" s="292">
        <v>47466</v>
      </c>
      <c r="I107" s="292" t="s">
        <v>657</v>
      </c>
      <c r="J107" s="292"/>
      <c r="K107" s="10" t="s">
        <v>657</v>
      </c>
    </row>
    <row r="108" spans="2:11" x14ac:dyDescent="0.25">
      <c r="B108" s="335">
        <v>24</v>
      </c>
      <c r="D108" s="284">
        <v>47392</v>
      </c>
      <c r="E108" s="292">
        <v>47483</v>
      </c>
      <c r="F108" s="292">
        <v>47453</v>
      </c>
      <c r="G108" s="292">
        <v>47483</v>
      </c>
      <c r="H108" s="292">
        <v>47498</v>
      </c>
      <c r="I108" s="292">
        <v>47504</v>
      </c>
      <c r="J108" s="292">
        <v>47506</v>
      </c>
      <c r="K108" s="10">
        <v>47508</v>
      </c>
    </row>
    <row r="109" spans="2:11" x14ac:dyDescent="0.25">
      <c r="B109" s="335"/>
      <c r="D109" s="284"/>
      <c r="E109" s="292" t="s">
        <v>657</v>
      </c>
      <c r="F109" s="292">
        <v>47484</v>
      </c>
      <c r="G109" s="292">
        <v>47514</v>
      </c>
      <c r="H109" s="292">
        <v>47529</v>
      </c>
      <c r="I109" s="292" t="s">
        <v>657</v>
      </c>
      <c r="J109" s="292"/>
      <c r="K109" s="10" t="s">
        <v>657</v>
      </c>
    </row>
    <row r="110" spans="2:11" x14ac:dyDescent="0.25">
      <c r="B110" s="335"/>
      <c r="D110" s="284"/>
      <c r="E110" s="292" t="s">
        <v>657</v>
      </c>
      <c r="F110" s="292">
        <v>47515</v>
      </c>
      <c r="G110" s="292">
        <v>47542</v>
      </c>
      <c r="H110" s="292">
        <v>47557</v>
      </c>
      <c r="I110" s="292" t="s">
        <v>657</v>
      </c>
      <c r="J110" s="292"/>
      <c r="K110" s="10" t="s">
        <v>657</v>
      </c>
    </row>
    <row r="111" spans="2:11" x14ac:dyDescent="0.25">
      <c r="B111" s="335">
        <v>25</v>
      </c>
      <c r="D111" s="284">
        <v>47484</v>
      </c>
      <c r="E111" s="292">
        <v>47573</v>
      </c>
      <c r="F111" s="292">
        <v>47543</v>
      </c>
      <c r="G111" s="292">
        <v>47573</v>
      </c>
      <c r="H111" s="292">
        <v>47588</v>
      </c>
      <c r="I111" s="292">
        <v>47591</v>
      </c>
      <c r="J111" s="292">
        <v>47596</v>
      </c>
      <c r="K111" s="10">
        <v>47598</v>
      </c>
    </row>
    <row r="112" spans="2:11" x14ac:dyDescent="0.25">
      <c r="B112" s="335" t="s">
        <v>657</v>
      </c>
      <c r="D112" s="284"/>
      <c r="E112" s="292" t="s">
        <v>657</v>
      </c>
      <c r="F112" s="292">
        <v>47574</v>
      </c>
      <c r="G112" s="292">
        <v>47603</v>
      </c>
      <c r="H112" s="292">
        <v>47619</v>
      </c>
      <c r="I112" s="292" t="s">
        <v>657</v>
      </c>
      <c r="J112" s="292"/>
      <c r="K112" s="10" t="s">
        <v>657</v>
      </c>
    </row>
    <row r="113" spans="2:11" x14ac:dyDescent="0.25">
      <c r="B113" s="335" t="s">
        <v>657</v>
      </c>
      <c r="D113" s="284"/>
      <c r="E113" s="292" t="s">
        <v>657</v>
      </c>
      <c r="F113" s="292">
        <v>47604</v>
      </c>
      <c r="G113" s="292">
        <v>47634</v>
      </c>
      <c r="H113" s="292">
        <v>47651</v>
      </c>
      <c r="I113" s="292" t="s">
        <v>657</v>
      </c>
      <c r="J113" s="292"/>
      <c r="K113" s="10" t="s">
        <v>657</v>
      </c>
    </row>
    <row r="114" spans="2:11" x14ac:dyDescent="0.25">
      <c r="B114" s="335">
        <v>26</v>
      </c>
      <c r="D114" s="284">
        <v>47574</v>
      </c>
      <c r="E114" s="292">
        <v>47664</v>
      </c>
      <c r="F114" s="292">
        <v>47635</v>
      </c>
      <c r="G114" s="292">
        <v>47664</v>
      </c>
      <c r="H114" s="292">
        <v>47679</v>
      </c>
      <c r="I114" s="292">
        <v>47682</v>
      </c>
      <c r="J114" s="292">
        <v>47687</v>
      </c>
      <c r="K114" s="10">
        <v>47689</v>
      </c>
    </row>
    <row r="115" spans="2:11" x14ac:dyDescent="0.25">
      <c r="B115" s="335" t="s">
        <v>657</v>
      </c>
      <c r="D115" s="284"/>
      <c r="E115" s="292" t="s">
        <v>657</v>
      </c>
      <c r="F115" s="292">
        <v>47665</v>
      </c>
      <c r="G115" s="292">
        <v>47695</v>
      </c>
      <c r="H115" s="292">
        <v>47711</v>
      </c>
      <c r="I115" s="292" t="s">
        <v>657</v>
      </c>
      <c r="J115" s="292"/>
      <c r="K115" s="10" t="s">
        <v>657</v>
      </c>
    </row>
    <row r="116" spans="2:11" x14ac:dyDescent="0.25">
      <c r="B116" s="335" t="s">
        <v>657</v>
      </c>
      <c r="D116" s="284"/>
      <c r="E116" s="292" t="s">
        <v>657</v>
      </c>
      <c r="F116" s="292">
        <v>47696</v>
      </c>
      <c r="G116" s="292">
        <v>47726</v>
      </c>
      <c r="H116" s="292">
        <v>47739</v>
      </c>
      <c r="I116" s="292" t="s">
        <v>657</v>
      </c>
      <c r="J116" s="292"/>
      <c r="K116" s="10" t="s">
        <v>657</v>
      </c>
    </row>
    <row r="117" spans="2:11" x14ac:dyDescent="0.25">
      <c r="B117" s="335">
        <v>27</v>
      </c>
      <c r="D117" s="284">
        <v>47665</v>
      </c>
      <c r="E117" s="292">
        <v>47756</v>
      </c>
      <c r="F117" s="292">
        <v>47727</v>
      </c>
      <c r="G117" s="292">
        <v>47756</v>
      </c>
      <c r="H117" s="292">
        <v>47771</v>
      </c>
      <c r="I117" s="292">
        <v>47774</v>
      </c>
      <c r="J117" s="292">
        <v>47779</v>
      </c>
      <c r="K117" s="10">
        <v>47781</v>
      </c>
    </row>
    <row r="118" spans="2:11" x14ac:dyDescent="0.25">
      <c r="B118" s="335" t="s">
        <v>657</v>
      </c>
      <c r="D118" s="284"/>
      <c r="E118" s="292" t="s">
        <v>657</v>
      </c>
      <c r="F118" s="292">
        <v>47757</v>
      </c>
      <c r="G118" s="292">
        <v>47787</v>
      </c>
      <c r="H118" s="292">
        <v>47805</v>
      </c>
      <c r="I118" s="292" t="s">
        <v>657</v>
      </c>
      <c r="J118" s="292"/>
      <c r="K118" s="10" t="s">
        <v>657</v>
      </c>
    </row>
    <row r="119" spans="2:11" x14ac:dyDescent="0.25">
      <c r="B119" s="335" t="s">
        <v>657</v>
      </c>
      <c r="D119" s="284"/>
      <c r="E119" s="292" t="s">
        <v>657</v>
      </c>
      <c r="F119" s="292">
        <v>47788</v>
      </c>
      <c r="G119" s="292">
        <v>47817</v>
      </c>
      <c r="H119" s="292">
        <v>47830</v>
      </c>
      <c r="I119" s="292" t="s">
        <v>657</v>
      </c>
      <c r="J119" s="292"/>
      <c r="K119" s="10" t="s">
        <v>657</v>
      </c>
    </row>
    <row r="120" spans="2:11" x14ac:dyDescent="0.25">
      <c r="B120" s="335">
        <v>28</v>
      </c>
      <c r="D120" s="284">
        <v>47757</v>
      </c>
      <c r="E120" s="292">
        <v>47848</v>
      </c>
      <c r="F120" s="292">
        <v>47818</v>
      </c>
      <c r="G120" s="292">
        <v>47848</v>
      </c>
      <c r="H120" s="292">
        <v>47863</v>
      </c>
      <c r="I120" s="292">
        <v>47869</v>
      </c>
      <c r="J120" s="292">
        <v>47871</v>
      </c>
      <c r="K120" s="10">
        <v>47875</v>
      </c>
    </row>
    <row r="121" spans="2:11" x14ac:dyDescent="0.25">
      <c r="B121" s="335" t="s">
        <v>657</v>
      </c>
      <c r="D121" s="284"/>
      <c r="E121" s="292" t="s">
        <v>657</v>
      </c>
      <c r="F121" s="292">
        <v>47849</v>
      </c>
      <c r="G121" s="292">
        <v>47879</v>
      </c>
      <c r="H121" s="292">
        <v>47893</v>
      </c>
      <c r="I121" s="292" t="s">
        <v>657</v>
      </c>
      <c r="J121" s="292"/>
      <c r="K121" s="10" t="s">
        <v>657</v>
      </c>
    </row>
    <row r="122" spans="2:11" x14ac:dyDescent="0.25">
      <c r="B122" s="335" t="s">
        <v>657</v>
      </c>
      <c r="D122" s="284"/>
      <c r="E122" s="292" t="s">
        <v>657</v>
      </c>
      <c r="F122" s="292">
        <v>47880</v>
      </c>
      <c r="G122" s="292">
        <v>47907</v>
      </c>
      <c r="H122" s="292">
        <v>47921</v>
      </c>
      <c r="I122" s="292" t="s">
        <v>657</v>
      </c>
      <c r="J122" s="292"/>
      <c r="K122" s="10" t="s">
        <v>657</v>
      </c>
    </row>
    <row r="123" spans="2:11" x14ac:dyDescent="0.25">
      <c r="B123" s="335">
        <v>29</v>
      </c>
      <c r="D123" s="284">
        <v>47849</v>
      </c>
      <c r="E123" s="292">
        <v>47938</v>
      </c>
      <c r="F123" s="292">
        <v>47908</v>
      </c>
      <c r="G123" s="292">
        <v>47938</v>
      </c>
      <c r="H123" s="292">
        <v>47955</v>
      </c>
      <c r="I123" s="292">
        <v>47960</v>
      </c>
      <c r="J123" s="292">
        <v>47961</v>
      </c>
      <c r="K123" s="10">
        <v>47963</v>
      </c>
    </row>
    <row r="124" spans="2:11" x14ac:dyDescent="0.25">
      <c r="B124" s="335" t="s">
        <v>657</v>
      </c>
      <c r="D124" s="284"/>
      <c r="E124" s="292" t="s">
        <v>657</v>
      </c>
      <c r="F124" s="292">
        <v>47939</v>
      </c>
      <c r="G124" s="292">
        <v>47968</v>
      </c>
      <c r="H124" s="292">
        <v>47984</v>
      </c>
      <c r="I124" s="292" t="s">
        <v>657</v>
      </c>
      <c r="J124" s="292"/>
      <c r="K124" s="10" t="s">
        <v>657</v>
      </c>
    </row>
    <row r="125" spans="2:11" x14ac:dyDescent="0.25">
      <c r="B125" s="335" t="s">
        <v>657</v>
      </c>
      <c r="D125" s="284"/>
      <c r="E125" s="292" t="s">
        <v>657</v>
      </c>
      <c r="F125" s="292">
        <v>47969</v>
      </c>
      <c r="G125" s="292">
        <v>47999</v>
      </c>
      <c r="H125" s="292">
        <v>48015</v>
      </c>
      <c r="I125" s="292" t="s">
        <v>657</v>
      </c>
      <c r="J125" s="292"/>
      <c r="K125" s="10" t="s">
        <v>657</v>
      </c>
    </row>
    <row r="126" spans="2:11" x14ac:dyDescent="0.25">
      <c r="B126" s="335">
        <v>30</v>
      </c>
      <c r="D126" s="284">
        <v>47939</v>
      </c>
      <c r="E126" s="292">
        <v>48029</v>
      </c>
      <c r="F126" s="292">
        <v>48000</v>
      </c>
      <c r="G126" s="292">
        <v>48029</v>
      </c>
      <c r="H126" s="292">
        <v>48045</v>
      </c>
      <c r="I126" s="292">
        <v>48050</v>
      </c>
      <c r="J126" s="292">
        <v>48052</v>
      </c>
      <c r="K126" s="10">
        <v>48054</v>
      </c>
    </row>
    <row r="127" spans="2:11" x14ac:dyDescent="0.25">
      <c r="B127" s="335" t="s">
        <v>657</v>
      </c>
      <c r="D127" s="284"/>
      <c r="E127" s="292" t="s">
        <v>657</v>
      </c>
      <c r="F127" s="292">
        <v>48030</v>
      </c>
      <c r="G127" s="292">
        <v>48060</v>
      </c>
      <c r="H127" s="292">
        <v>48078</v>
      </c>
      <c r="I127" s="292" t="s">
        <v>657</v>
      </c>
      <c r="J127" s="292"/>
      <c r="K127" s="10" t="s">
        <v>657</v>
      </c>
    </row>
    <row r="128" spans="2:11" x14ac:dyDescent="0.25">
      <c r="B128" s="335" t="s">
        <v>657</v>
      </c>
      <c r="D128" s="284"/>
      <c r="E128" s="292" t="s">
        <v>657</v>
      </c>
      <c r="F128" s="292">
        <v>48061</v>
      </c>
      <c r="G128" s="292">
        <v>48091</v>
      </c>
      <c r="H128" s="292">
        <v>48106</v>
      </c>
      <c r="I128" s="292" t="s">
        <v>657</v>
      </c>
      <c r="J128" s="292"/>
      <c r="K128" s="10" t="s">
        <v>657</v>
      </c>
    </row>
    <row r="129" spans="2:11" x14ac:dyDescent="0.25">
      <c r="B129" s="335">
        <v>31</v>
      </c>
      <c r="D129" s="284">
        <v>48030</v>
      </c>
      <c r="E129" s="292">
        <v>48121</v>
      </c>
      <c r="F129" s="292">
        <v>48092</v>
      </c>
      <c r="G129" s="292">
        <v>48121</v>
      </c>
      <c r="H129" s="292">
        <v>48136</v>
      </c>
      <c r="I129" s="292">
        <v>48141</v>
      </c>
      <c r="J129" s="292">
        <v>48144</v>
      </c>
      <c r="K129" s="10">
        <v>48148</v>
      </c>
    </row>
    <row r="130" spans="2:11" x14ac:dyDescent="0.25">
      <c r="B130" s="335" t="s">
        <v>657</v>
      </c>
      <c r="D130" s="284"/>
      <c r="E130" s="292" t="s">
        <v>657</v>
      </c>
      <c r="F130" s="292">
        <v>48122</v>
      </c>
      <c r="G130" s="292">
        <v>48152</v>
      </c>
      <c r="H130" s="292">
        <v>48169</v>
      </c>
      <c r="I130" s="292" t="s">
        <v>657</v>
      </c>
      <c r="J130" s="292"/>
      <c r="K130" s="10" t="s">
        <v>657</v>
      </c>
    </row>
    <row r="131" spans="2:11" x14ac:dyDescent="0.25">
      <c r="B131" s="335" t="s">
        <v>657</v>
      </c>
      <c r="D131" s="284"/>
      <c r="E131" s="292" t="s">
        <v>657</v>
      </c>
      <c r="F131" s="292">
        <v>48153</v>
      </c>
      <c r="G131" s="292">
        <v>48182</v>
      </c>
      <c r="H131" s="292">
        <v>48197</v>
      </c>
      <c r="I131" s="292" t="s">
        <v>657</v>
      </c>
      <c r="J131" s="292"/>
      <c r="K131" s="10" t="s">
        <v>657</v>
      </c>
    </row>
    <row r="132" spans="2:11" x14ac:dyDescent="0.25">
      <c r="B132" s="335">
        <v>32</v>
      </c>
      <c r="D132" s="284">
        <v>48122</v>
      </c>
      <c r="E132" s="292">
        <v>48213</v>
      </c>
      <c r="F132" s="292">
        <v>48183</v>
      </c>
      <c r="G132" s="292">
        <v>48213</v>
      </c>
      <c r="H132" s="292">
        <v>48228</v>
      </c>
      <c r="I132" s="292">
        <v>48234</v>
      </c>
      <c r="J132" s="292">
        <v>48236</v>
      </c>
      <c r="K132" s="10">
        <v>48240</v>
      </c>
    </row>
    <row r="133" spans="2:11" x14ac:dyDescent="0.25">
      <c r="B133" s="335" t="s">
        <v>657</v>
      </c>
      <c r="D133" s="284"/>
      <c r="E133" s="292" t="s">
        <v>657</v>
      </c>
      <c r="F133" s="292">
        <v>48214</v>
      </c>
      <c r="G133" s="292">
        <v>48244</v>
      </c>
      <c r="H133" s="292">
        <v>48257</v>
      </c>
      <c r="I133" s="292" t="s">
        <v>657</v>
      </c>
      <c r="J133" s="292"/>
      <c r="K133" s="10" t="s">
        <v>657</v>
      </c>
    </row>
    <row r="134" spans="2:11" x14ac:dyDescent="0.25">
      <c r="B134" s="335" t="s">
        <v>657</v>
      </c>
      <c r="D134" s="284"/>
      <c r="E134" s="292" t="s">
        <v>657</v>
      </c>
      <c r="F134" s="292">
        <v>48245</v>
      </c>
      <c r="G134" s="292">
        <v>48273</v>
      </c>
      <c r="H134" s="292">
        <v>48288</v>
      </c>
      <c r="I134" s="292" t="s">
        <v>657</v>
      </c>
      <c r="J134" s="292"/>
      <c r="K134" s="10" t="s">
        <v>657</v>
      </c>
    </row>
    <row r="135" spans="2:11" x14ac:dyDescent="0.25">
      <c r="B135" s="335">
        <v>33</v>
      </c>
      <c r="D135" s="284">
        <v>48214</v>
      </c>
      <c r="E135" s="292">
        <v>48304</v>
      </c>
      <c r="F135" s="292">
        <v>48274</v>
      </c>
      <c r="G135" s="292">
        <v>48304</v>
      </c>
      <c r="H135" s="292">
        <v>48319</v>
      </c>
      <c r="I135" s="292">
        <v>48324</v>
      </c>
      <c r="J135" s="292">
        <v>48327</v>
      </c>
      <c r="K135" s="10">
        <v>48331</v>
      </c>
    </row>
    <row r="136" spans="2:11" x14ac:dyDescent="0.25">
      <c r="B136" s="335" t="s">
        <v>657</v>
      </c>
      <c r="D136" s="284"/>
      <c r="E136" s="292" t="s">
        <v>657</v>
      </c>
      <c r="F136" s="292">
        <v>48305</v>
      </c>
      <c r="G136" s="292">
        <v>48334</v>
      </c>
      <c r="H136" s="292">
        <v>48352</v>
      </c>
      <c r="I136" s="292" t="s">
        <v>657</v>
      </c>
      <c r="J136" s="292"/>
      <c r="K136" s="10" t="s">
        <v>657</v>
      </c>
    </row>
    <row r="137" spans="2:11" x14ac:dyDescent="0.25">
      <c r="B137" s="335" t="s">
        <v>657</v>
      </c>
      <c r="D137" s="284"/>
      <c r="E137" s="292" t="s">
        <v>657</v>
      </c>
      <c r="F137" s="292">
        <v>48335</v>
      </c>
      <c r="G137" s="292">
        <v>48365</v>
      </c>
      <c r="H137" s="292">
        <v>48380</v>
      </c>
      <c r="I137" s="292" t="s">
        <v>657</v>
      </c>
      <c r="J137" s="292"/>
      <c r="K137" s="10" t="s">
        <v>657</v>
      </c>
    </row>
    <row r="138" spans="2:11" x14ac:dyDescent="0.25">
      <c r="B138" s="335">
        <v>34</v>
      </c>
      <c r="D138" s="284">
        <v>48305</v>
      </c>
      <c r="E138" s="292">
        <v>48395</v>
      </c>
      <c r="F138" s="292">
        <v>48366</v>
      </c>
      <c r="G138" s="292">
        <v>48395</v>
      </c>
      <c r="H138" s="292">
        <v>48411</v>
      </c>
      <c r="I138" s="292">
        <v>48416</v>
      </c>
      <c r="J138" s="292">
        <v>48418</v>
      </c>
      <c r="K138" s="10">
        <v>48422</v>
      </c>
    </row>
    <row r="139" spans="2:11" x14ac:dyDescent="0.25">
      <c r="B139" s="335" t="s">
        <v>657</v>
      </c>
      <c r="D139" s="284"/>
      <c r="E139" s="292" t="s">
        <v>657</v>
      </c>
      <c r="F139" s="292">
        <v>48396</v>
      </c>
      <c r="G139" s="292">
        <v>48426</v>
      </c>
      <c r="H139" s="292">
        <v>48439</v>
      </c>
      <c r="I139" s="292" t="s">
        <v>657</v>
      </c>
      <c r="J139" s="292"/>
      <c r="K139" s="10" t="s">
        <v>657</v>
      </c>
    </row>
    <row r="140" spans="2:11" x14ac:dyDescent="0.25">
      <c r="B140" s="335" t="s">
        <v>657</v>
      </c>
      <c r="D140" s="284"/>
      <c r="E140" s="292" t="s">
        <v>657</v>
      </c>
      <c r="F140" s="292">
        <v>48427</v>
      </c>
      <c r="G140" s="292">
        <v>48457</v>
      </c>
      <c r="H140" s="292">
        <v>48472</v>
      </c>
      <c r="I140" s="292" t="s">
        <v>657</v>
      </c>
      <c r="J140" s="292"/>
      <c r="K140" s="10" t="s">
        <v>657</v>
      </c>
    </row>
    <row r="141" spans="2:11" x14ac:dyDescent="0.25">
      <c r="B141" s="335">
        <v>35</v>
      </c>
      <c r="D141" s="284">
        <v>48396</v>
      </c>
      <c r="E141" s="292">
        <v>48487</v>
      </c>
      <c r="F141" s="292">
        <v>48458</v>
      </c>
      <c r="G141" s="292">
        <v>48487</v>
      </c>
      <c r="H141" s="292">
        <v>48502</v>
      </c>
      <c r="I141" s="292">
        <v>48507</v>
      </c>
      <c r="J141" s="292">
        <v>48512</v>
      </c>
      <c r="K141" s="10">
        <v>48514</v>
      </c>
    </row>
    <row r="142" spans="2:11" x14ac:dyDescent="0.25">
      <c r="B142" s="335" t="s">
        <v>657</v>
      </c>
      <c r="D142" s="284"/>
      <c r="E142" s="292" t="s">
        <v>657</v>
      </c>
      <c r="F142" s="292">
        <v>48488</v>
      </c>
      <c r="G142" s="292">
        <v>48518</v>
      </c>
      <c r="H142" s="292">
        <v>48534</v>
      </c>
      <c r="I142" s="292" t="s">
        <v>657</v>
      </c>
      <c r="J142" s="292"/>
      <c r="K142" s="10" t="s">
        <v>657</v>
      </c>
    </row>
    <row r="143" spans="2:11" x14ac:dyDescent="0.25">
      <c r="B143" s="335" t="s">
        <v>657</v>
      </c>
      <c r="D143" s="284"/>
      <c r="E143" s="292" t="s">
        <v>657</v>
      </c>
      <c r="F143" s="292">
        <v>48519</v>
      </c>
      <c r="G143" s="292">
        <v>48548</v>
      </c>
      <c r="H143" s="292">
        <v>48563</v>
      </c>
      <c r="I143" s="292" t="s">
        <v>657</v>
      </c>
      <c r="J143" s="292"/>
      <c r="K143" s="10" t="s">
        <v>657</v>
      </c>
    </row>
    <row r="144" spans="2:11" x14ac:dyDescent="0.25">
      <c r="B144" s="335">
        <v>36</v>
      </c>
      <c r="D144" s="284">
        <v>48488</v>
      </c>
      <c r="E144" s="292">
        <v>48579</v>
      </c>
      <c r="F144" s="292">
        <v>48549</v>
      </c>
      <c r="G144" s="292">
        <v>48579</v>
      </c>
      <c r="H144" s="292">
        <v>48593</v>
      </c>
      <c r="I144" s="292">
        <v>48599</v>
      </c>
      <c r="J144" s="292">
        <v>48603</v>
      </c>
      <c r="K144" s="10">
        <v>48605</v>
      </c>
    </row>
    <row r="145" spans="2:11" x14ac:dyDescent="0.25">
      <c r="B145" s="335" t="s">
        <v>657</v>
      </c>
      <c r="D145" s="284"/>
      <c r="E145" s="292" t="s">
        <v>657</v>
      </c>
      <c r="F145" s="292">
        <v>48580</v>
      </c>
      <c r="G145" s="292">
        <v>48610</v>
      </c>
      <c r="H145" s="292">
        <v>48625</v>
      </c>
      <c r="I145" s="292" t="s">
        <v>657</v>
      </c>
      <c r="J145" s="292"/>
      <c r="K145" s="10" t="s">
        <v>657</v>
      </c>
    </row>
    <row r="146" spans="2:11" x14ac:dyDescent="0.25">
      <c r="B146" s="335" t="s">
        <v>657</v>
      </c>
      <c r="D146" s="284"/>
      <c r="E146" s="292" t="s">
        <v>657</v>
      </c>
      <c r="F146" s="292">
        <v>48611</v>
      </c>
      <c r="G146" s="292">
        <v>48638</v>
      </c>
      <c r="H146" s="292">
        <v>48653</v>
      </c>
      <c r="I146" s="292" t="s">
        <v>657</v>
      </c>
      <c r="J146" s="292"/>
      <c r="K146" s="10" t="s">
        <v>657</v>
      </c>
    </row>
    <row r="147" spans="2:11" x14ac:dyDescent="0.25">
      <c r="B147" s="335">
        <v>37</v>
      </c>
      <c r="D147" s="284">
        <v>48580</v>
      </c>
      <c r="E147" s="292">
        <v>48669</v>
      </c>
      <c r="F147" s="292">
        <v>48639</v>
      </c>
      <c r="G147" s="292">
        <v>48669</v>
      </c>
      <c r="H147" s="292">
        <v>48688</v>
      </c>
      <c r="I147" s="292">
        <v>48691</v>
      </c>
      <c r="J147" s="292">
        <v>48694</v>
      </c>
      <c r="K147" s="10">
        <v>48696</v>
      </c>
    </row>
    <row r="148" spans="2:11" x14ac:dyDescent="0.25">
      <c r="B148" s="335" t="s">
        <v>657</v>
      </c>
      <c r="D148" s="284"/>
      <c r="E148" s="292" t="s">
        <v>657</v>
      </c>
      <c r="F148" s="292">
        <v>48670</v>
      </c>
      <c r="G148" s="292">
        <v>48699</v>
      </c>
      <c r="H148" s="292">
        <v>48712</v>
      </c>
      <c r="I148" s="292" t="s">
        <v>657</v>
      </c>
      <c r="J148" s="292"/>
      <c r="K148" s="10" t="s">
        <v>657</v>
      </c>
    </row>
    <row r="149" spans="2:11" x14ac:dyDescent="0.25">
      <c r="B149" s="335" t="s">
        <v>657</v>
      </c>
      <c r="D149" s="284"/>
      <c r="E149" s="292" t="s">
        <v>657</v>
      </c>
      <c r="F149" s="292">
        <v>48700</v>
      </c>
      <c r="G149" s="292">
        <v>48730</v>
      </c>
      <c r="H149" s="292">
        <v>48746</v>
      </c>
      <c r="I149" s="292" t="s">
        <v>657</v>
      </c>
      <c r="J149" s="292"/>
      <c r="K149" s="10" t="s">
        <v>657</v>
      </c>
    </row>
    <row r="150" spans="2:11" x14ac:dyDescent="0.25">
      <c r="B150" s="335">
        <v>38</v>
      </c>
      <c r="D150" s="284">
        <v>48670</v>
      </c>
      <c r="E150" s="292">
        <v>48760</v>
      </c>
      <c r="F150" s="292">
        <v>48731</v>
      </c>
      <c r="G150" s="292">
        <v>48760</v>
      </c>
      <c r="H150" s="292">
        <v>48778</v>
      </c>
      <c r="I150" s="292">
        <v>48781</v>
      </c>
      <c r="J150" s="292">
        <v>48785</v>
      </c>
      <c r="K150" s="10">
        <v>48787</v>
      </c>
    </row>
    <row r="151" spans="2:11" x14ac:dyDescent="0.25">
      <c r="B151" s="335" t="s">
        <v>657</v>
      </c>
      <c r="D151" s="284"/>
      <c r="E151" s="292" t="s">
        <v>657</v>
      </c>
      <c r="F151" s="292">
        <v>48761</v>
      </c>
      <c r="G151" s="292">
        <v>48791</v>
      </c>
      <c r="H151" s="292">
        <v>48807</v>
      </c>
      <c r="I151" s="292" t="s">
        <v>657</v>
      </c>
      <c r="J151" s="292"/>
      <c r="K151" s="10" t="s">
        <v>657</v>
      </c>
    </row>
    <row r="152" spans="2:11" x14ac:dyDescent="0.25">
      <c r="B152" s="335" t="s">
        <v>657</v>
      </c>
      <c r="D152" s="284"/>
      <c r="E152" s="292" t="s">
        <v>657</v>
      </c>
      <c r="F152" s="292">
        <v>48792</v>
      </c>
      <c r="G152" s="292">
        <v>48822</v>
      </c>
      <c r="H152" s="292">
        <v>48837</v>
      </c>
      <c r="I152" s="292" t="s">
        <v>657</v>
      </c>
      <c r="J152" s="292"/>
      <c r="K152" s="10" t="s">
        <v>657</v>
      </c>
    </row>
    <row r="153" spans="2:11" x14ac:dyDescent="0.25">
      <c r="B153" s="335">
        <v>39</v>
      </c>
      <c r="D153" s="284">
        <v>48761</v>
      </c>
      <c r="E153" s="292">
        <v>48852</v>
      </c>
      <c r="F153" s="292">
        <v>48823</v>
      </c>
      <c r="G153" s="292">
        <v>48852</v>
      </c>
      <c r="H153" s="292">
        <v>48866</v>
      </c>
      <c r="I153" s="292">
        <v>48872</v>
      </c>
      <c r="J153" s="292">
        <v>48876</v>
      </c>
      <c r="K153" s="10">
        <v>48878</v>
      </c>
    </row>
    <row r="154" spans="2:11" x14ac:dyDescent="0.25">
      <c r="B154" s="335" t="s">
        <v>657</v>
      </c>
      <c r="D154" s="284"/>
      <c r="E154" s="292" t="s">
        <v>657</v>
      </c>
      <c r="F154" s="292">
        <v>48853</v>
      </c>
      <c r="G154" s="292">
        <v>48883</v>
      </c>
      <c r="H154" s="292">
        <v>48899</v>
      </c>
      <c r="I154" s="292" t="s">
        <v>657</v>
      </c>
      <c r="J154" s="292"/>
      <c r="K154" s="10" t="s">
        <v>657</v>
      </c>
    </row>
    <row r="155" spans="2:11" x14ac:dyDescent="0.25">
      <c r="B155" s="335" t="s">
        <v>657</v>
      </c>
      <c r="D155" s="284"/>
      <c r="E155" s="292" t="s">
        <v>657</v>
      </c>
      <c r="F155" s="292">
        <v>48884</v>
      </c>
      <c r="G155" s="292">
        <v>48913</v>
      </c>
      <c r="H155" s="292">
        <v>48928</v>
      </c>
      <c r="I155" s="292" t="s">
        <v>657</v>
      </c>
      <c r="J155" s="292"/>
      <c r="K155" s="10" t="s">
        <v>657</v>
      </c>
    </row>
    <row r="156" spans="2:11" x14ac:dyDescent="0.25">
      <c r="B156" s="335">
        <v>40</v>
      </c>
      <c r="D156" s="284">
        <v>48853</v>
      </c>
      <c r="E156" s="292">
        <v>48944</v>
      </c>
      <c r="F156" s="292">
        <v>48914</v>
      </c>
      <c r="G156" s="292">
        <v>48944</v>
      </c>
      <c r="H156" s="292">
        <v>48957</v>
      </c>
      <c r="I156" s="292">
        <v>48963</v>
      </c>
      <c r="J156" s="292">
        <v>48967</v>
      </c>
      <c r="K156" s="10">
        <v>48969</v>
      </c>
    </row>
    <row r="157" spans="2:11" x14ac:dyDescent="0.25">
      <c r="B157" s="335" t="s">
        <v>657</v>
      </c>
      <c r="D157" s="284"/>
      <c r="E157" s="292" t="s">
        <v>657</v>
      </c>
      <c r="F157" s="292">
        <v>48945</v>
      </c>
      <c r="G157" s="292">
        <v>48975</v>
      </c>
      <c r="H157" s="292">
        <v>48990</v>
      </c>
      <c r="I157" s="292" t="s">
        <v>657</v>
      </c>
      <c r="J157" s="292"/>
      <c r="K157" s="10" t="s">
        <v>657</v>
      </c>
    </row>
    <row r="158" spans="2:11" x14ac:dyDescent="0.25">
      <c r="B158" s="335" t="s">
        <v>657</v>
      </c>
      <c r="D158" s="284"/>
      <c r="E158" s="292" t="s">
        <v>657</v>
      </c>
      <c r="F158" s="292">
        <v>48976</v>
      </c>
      <c r="G158" s="292">
        <v>49003</v>
      </c>
      <c r="H158" s="292">
        <v>49018</v>
      </c>
      <c r="I158" s="292" t="s">
        <v>657</v>
      </c>
      <c r="J158" s="292"/>
      <c r="K158" s="10" t="s">
        <v>657</v>
      </c>
    </row>
    <row r="159" spans="2:11" x14ac:dyDescent="0.25">
      <c r="B159" s="335">
        <v>41</v>
      </c>
      <c r="D159" s="284">
        <v>48945</v>
      </c>
      <c r="E159" s="292">
        <v>49034</v>
      </c>
      <c r="F159" s="292">
        <v>49004</v>
      </c>
      <c r="G159" s="292">
        <v>49034</v>
      </c>
      <c r="H159" s="292">
        <v>49052</v>
      </c>
      <c r="I159" s="292">
        <v>49058</v>
      </c>
      <c r="J159" s="292">
        <v>49058</v>
      </c>
      <c r="K159" s="10">
        <v>49060</v>
      </c>
    </row>
    <row r="160" spans="2:11" x14ac:dyDescent="0.25">
      <c r="B160" s="335" t="s">
        <v>657</v>
      </c>
      <c r="D160" s="284"/>
      <c r="E160" s="292" t="s">
        <v>657</v>
      </c>
      <c r="F160" s="292">
        <v>49035</v>
      </c>
      <c r="G160" s="292">
        <v>49064</v>
      </c>
      <c r="H160" s="292">
        <v>49080</v>
      </c>
      <c r="I160" s="292" t="s">
        <v>657</v>
      </c>
      <c r="J160" s="292"/>
      <c r="K160" s="10" t="s">
        <v>657</v>
      </c>
    </row>
    <row r="161" spans="2:11" x14ac:dyDescent="0.25">
      <c r="B161" s="335" t="s">
        <v>657</v>
      </c>
      <c r="D161" s="284"/>
      <c r="E161" s="292" t="s">
        <v>657</v>
      </c>
      <c r="F161" s="292">
        <v>49065</v>
      </c>
      <c r="G161" s="292">
        <v>49095</v>
      </c>
      <c r="H161" s="292">
        <v>49110</v>
      </c>
      <c r="I161" s="292" t="s">
        <v>657</v>
      </c>
      <c r="J161" s="292"/>
      <c r="K161" s="10" t="s">
        <v>657</v>
      </c>
    </row>
    <row r="162" spans="2:11" x14ac:dyDescent="0.25">
      <c r="B162" s="335">
        <v>42</v>
      </c>
      <c r="D162" s="284">
        <v>49035</v>
      </c>
      <c r="E162" s="292">
        <v>49125</v>
      </c>
      <c r="F162" s="292">
        <v>49096</v>
      </c>
      <c r="G162" s="292">
        <v>49125</v>
      </c>
      <c r="H162" s="292">
        <v>49142</v>
      </c>
      <c r="I162" s="292">
        <v>49146</v>
      </c>
      <c r="J162" s="292">
        <v>49149</v>
      </c>
      <c r="K162" s="10">
        <v>49151</v>
      </c>
    </row>
    <row r="163" spans="2:11" x14ac:dyDescent="0.25">
      <c r="B163" s="335" t="s">
        <v>657</v>
      </c>
      <c r="D163" s="284"/>
      <c r="E163" s="292" t="s">
        <v>657</v>
      </c>
      <c r="F163" s="292">
        <v>49126</v>
      </c>
      <c r="G163" s="292">
        <v>49156</v>
      </c>
      <c r="H163" s="292">
        <v>49172</v>
      </c>
      <c r="I163" s="292" t="s">
        <v>657</v>
      </c>
      <c r="J163" s="292"/>
      <c r="K163" s="10" t="s">
        <v>657</v>
      </c>
    </row>
    <row r="164" spans="2:11" x14ac:dyDescent="0.25">
      <c r="B164" s="335" t="s">
        <v>657</v>
      </c>
      <c r="D164" s="284"/>
      <c r="E164" s="292" t="s">
        <v>657</v>
      </c>
      <c r="F164" s="292">
        <v>49157</v>
      </c>
      <c r="G164" s="292">
        <v>49187</v>
      </c>
      <c r="H164" s="292">
        <v>49202</v>
      </c>
      <c r="I164" s="292" t="s">
        <v>657</v>
      </c>
      <c r="J164" s="292"/>
      <c r="K164" s="10" t="s">
        <v>657</v>
      </c>
    </row>
    <row r="165" spans="2:11" x14ac:dyDescent="0.25">
      <c r="B165" s="335">
        <v>43</v>
      </c>
      <c r="D165" s="284">
        <v>49126</v>
      </c>
      <c r="E165" s="292">
        <v>49217</v>
      </c>
      <c r="F165" s="292">
        <v>49188</v>
      </c>
      <c r="G165" s="292">
        <v>49217</v>
      </c>
      <c r="H165" s="292">
        <v>49230</v>
      </c>
      <c r="I165" s="292">
        <v>49236</v>
      </c>
      <c r="J165" s="292">
        <v>49240</v>
      </c>
      <c r="K165" s="10">
        <v>49242</v>
      </c>
    </row>
    <row r="166" spans="2:11" x14ac:dyDescent="0.25">
      <c r="B166" s="335" t="s">
        <v>657</v>
      </c>
      <c r="D166" s="284"/>
      <c r="E166" s="292" t="s">
        <v>657</v>
      </c>
      <c r="F166" s="292">
        <v>49218</v>
      </c>
      <c r="G166" s="292">
        <v>49248</v>
      </c>
      <c r="H166" s="292">
        <v>49263</v>
      </c>
      <c r="I166" s="292" t="s">
        <v>657</v>
      </c>
      <c r="J166" s="292"/>
      <c r="K166" s="10" t="s">
        <v>657</v>
      </c>
    </row>
    <row r="167" spans="2:11" x14ac:dyDescent="0.25">
      <c r="B167" s="335" t="s">
        <v>657</v>
      </c>
      <c r="D167" s="284"/>
      <c r="E167" s="292" t="s">
        <v>657</v>
      </c>
      <c r="F167" s="292">
        <v>49249</v>
      </c>
      <c r="G167" s="292">
        <v>49278</v>
      </c>
      <c r="H167" s="292">
        <v>49293</v>
      </c>
      <c r="I167" s="292" t="s">
        <v>657</v>
      </c>
      <c r="J167" s="292"/>
      <c r="K167" s="10" t="s">
        <v>657</v>
      </c>
    </row>
    <row r="168" spans="2:11" x14ac:dyDescent="0.25">
      <c r="B168" s="335">
        <v>44</v>
      </c>
      <c r="D168" s="284">
        <v>49218</v>
      </c>
      <c r="E168" s="292">
        <v>49309</v>
      </c>
      <c r="F168" s="292">
        <v>49279</v>
      </c>
      <c r="G168" s="292">
        <v>49309</v>
      </c>
      <c r="H168" s="292">
        <v>49324</v>
      </c>
      <c r="I168" s="292">
        <v>49328</v>
      </c>
      <c r="J168" s="292">
        <v>49332</v>
      </c>
      <c r="K168" s="10">
        <v>49334</v>
      </c>
    </row>
    <row r="169" spans="2:11" x14ac:dyDescent="0.25">
      <c r="B169" s="335" t="s">
        <v>657</v>
      </c>
      <c r="D169" s="284"/>
      <c r="E169" s="292" t="s">
        <v>657</v>
      </c>
      <c r="F169" s="292">
        <v>49310</v>
      </c>
      <c r="G169" s="292">
        <v>49340</v>
      </c>
      <c r="H169" s="292">
        <v>49355</v>
      </c>
      <c r="I169" s="292" t="s">
        <v>657</v>
      </c>
      <c r="J169" s="292"/>
      <c r="K169" s="10" t="s">
        <v>657</v>
      </c>
    </row>
    <row r="170" spans="2:11" x14ac:dyDescent="0.25">
      <c r="B170" s="335" t="s">
        <v>657</v>
      </c>
      <c r="D170" s="284"/>
      <c r="E170" s="292" t="s">
        <v>657</v>
      </c>
      <c r="F170" s="292">
        <v>49341</v>
      </c>
      <c r="G170" s="292">
        <v>49368</v>
      </c>
      <c r="H170" s="292">
        <v>49383</v>
      </c>
      <c r="I170" s="292" t="s">
        <v>657</v>
      </c>
      <c r="J170" s="292"/>
      <c r="K170" s="10" t="s">
        <v>657</v>
      </c>
    </row>
    <row r="171" spans="2:11" x14ac:dyDescent="0.25">
      <c r="B171" s="335">
        <v>45</v>
      </c>
      <c r="D171" s="284">
        <v>49310</v>
      </c>
      <c r="E171" s="292">
        <v>49399</v>
      </c>
      <c r="F171" s="292">
        <v>49369</v>
      </c>
      <c r="G171" s="292">
        <v>49399</v>
      </c>
      <c r="H171" s="292">
        <v>49412</v>
      </c>
      <c r="I171" s="292">
        <v>49418</v>
      </c>
      <c r="J171" s="292">
        <v>49422</v>
      </c>
      <c r="K171" s="10">
        <v>49424</v>
      </c>
    </row>
    <row r="172" spans="2:11" x14ac:dyDescent="0.25">
      <c r="B172" s="335" t="s">
        <v>657</v>
      </c>
      <c r="D172" s="284"/>
      <c r="E172" s="292" t="s">
        <v>657</v>
      </c>
      <c r="F172" s="292">
        <v>49400</v>
      </c>
      <c r="G172" s="292">
        <v>49429</v>
      </c>
      <c r="H172" s="292">
        <v>49447</v>
      </c>
      <c r="I172" s="292" t="s">
        <v>657</v>
      </c>
      <c r="J172" s="292"/>
      <c r="K172" s="10" t="s">
        <v>657</v>
      </c>
    </row>
    <row r="173" spans="2:11" x14ac:dyDescent="0.25">
      <c r="B173" s="335" t="s">
        <v>657</v>
      </c>
      <c r="D173" s="284"/>
      <c r="E173" s="292" t="s">
        <v>657</v>
      </c>
      <c r="F173" s="292">
        <v>49430</v>
      </c>
      <c r="G173" s="292">
        <v>49460</v>
      </c>
      <c r="H173" s="292">
        <v>49475</v>
      </c>
      <c r="I173" s="292" t="s">
        <v>657</v>
      </c>
      <c r="J173" s="292"/>
      <c r="K173" s="10" t="s">
        <v>657</v>
      </c>
    </row>
    <row r="174" spans="2:11" x14ac:dyDescent="0.25">
      <c r="B174" s="335">
        <v>46</v>
      </c>
      <c r="D174" s="284">
        <v>49400</v>
      </c>
      <c r="E174" s="292">
        <v>49490</v>
      </c>
      <c r="F174" s="292">
        <v>49461</v>
      </c>
      <c r="G174" s="292">
        <v>49490</v>
      </c>
      <c r="H174" s="292">
        <v>49503</v>
      </c>
      <c r="I174" s="292">
        <v>49509</v>
      </c>
      <c r="J174" s="292">
        <v>49513</v>
      </c>
      <c r="K174" s="10">
        <v>49515</v>
      </c>
    </row>
    <row r="175" spans="2:11" x14ac:dyDescent="0.25">
      <c r="B175" s="335" t="s">
        <v>657</v>
      </c>
      <c r="D175" s="284"/>
      <c r="E175" s="292" t="s">
        <v>657</v>
      </c>
      <c r="F175" s="292">
        <v>49491</v>
      </c>
      <c r="G175" s="292">
        <v>49521</v>
      </c>
      <c r="H175" s="292">
        <v>49537</v>
      </c>
      <c r="I175" s="292" t="s">
        <v>657</v>
      </c>
      <c r="J175" s="292"/>
      <c r="K175" s="10" t="s">
        <v>657</v>
      </c>
    </row>
    <row r="176" spans="2:11" x14ac:dyDescent="0.25">
      <c r="B176" s="335" t="s">
        <v>657</v>
      </c>
      <c r="D176" s="284"/>
      <c r="E176" s="292" t="s">
        <v>657</v>
      </c>
      <c r="F176" s="292">
        <v>49522</v>
      </c>
      <c r="G176" s="292">
        <v>49552</v>
      </c>
      <c r="H176" s="292">
        <v>49566</v>
      </c>
      <c r="I176" s="292" t="s">
        <v>657</v>
      </c>
      <c r="J176" s="292"/>
      <c r="K176" s="10" t="s">
        <v>657</v>
      </c>
    </row>
    <row r="177" spans="2:11" x14ac:dyDescent="0.25">
      <c r="B177" s="335">
        <v>47</v>
      </c>
      <c r="D177" s="284">
        <v>49491</v>
      </c>
      <c r="E177" s="292">
        <v>49582</v>
      </c>
      <c r="F177" s="292">
        <v>49553</v>
      </c>
      <c r="G177" s="292">
        <v>49582</v>
      </c>
      <c r="H177" s="292">
        <v>49597</v>
      </c>
      <c r="I177" s="292">
        <v>49600</v>
      </c>
      <c r="J177" s="292">
        <v>49605</v>
      </c>
      <c r="K177" s="10">
        <v>49607</v>
      </c>
    </row>
    <row r="178" spans="2:11" x14ac:dyDescent="0.25">
      <c r="B178" s="335" t="s">
        <v>657</v>
      </c>
      <c r="D178" s="284"/>
      <c r="E178" s="292" t="s">
        <v>657</v>
      </c>
      <c r="F178" s="292">
        <v>49583</v>
      </c>
      <c r="G178" s="292">
        <v>49613</v>
      </c>
      <c r="H178" s="292">
        <v>49628</v>
      </c>
      <c r="I178" s="292" t="s">
        <v>657</v>
      </c>
      <c r="J178" s="292"/>
      <c r="K178" s="10" t="s">
        <v>657</v>
      </c>
    </row>
    <row r="179" spans="2:11" x14ac:dyDescent="0.25">
      <c r="B179" s="335" t="s">
        <v>657</v>
      </c>
      <c r="D179" s="284"/>
      <c r="E179" s="292" t="s">
        <v>657</v>
      </c>
      <c r="F179" s="292">
        <v>49614</v>
      </c>
      <c r="G179" s="292">
        <v>49643</v>
      </c>
      <c r="H179" s="292">
        <v>49657</v>
      </c>
      <c r="I179" s="292" t="s">
        <v>657</v>
      </c>
      <c r="J179" s="292"/>
      <c r="K179" s="10" t="s">
        <v>657</v>
      </c>
    </row>
    <row r="180" spans="2:11" x14ac:dyDescent="0.25">
      <c r="B180" s="335">
        <v>48</v>
      </c>
      <c r="D180" s="284">
        <v>49583</v>
      </c>
      <c r="E180" s="292">
        <v>49674</v>
      </c>
      <c r="F180" s="292">
        <v>49644</v>
      </c>
      <c r="G180" s="292">
        <v>49674</v>
      </c>
      <c r="H180" s="292">
        <v>49689</v>
      </c>
      <c r="I180" s="292">
        <v>49695</v>
      </c>
      <c r="J180" s="292">
        <v>49697</v>
      </c>
      <c r="K180" s="10">
        <v>49699</v>
      </c>
    </row>
    <row r="181" spans="2:11" x14ac:dyDescent="0.25">
      <c r="B181" s="335" t="s">
        <v>657</v>
      </c>
      <c r="D181" s="284"/>
      <c r="E181" s="292" t="s">
        <v>657</v>
      </c>
      <c r="F181" s="292">
        <v>49675</v>
      </c>
      <c r="G181" s="292">
        <v>49705</v>
      </c>
      <c r="H181" s="292">
        <v>49720</v>
      </c>
      <c r="I181" s="292" t="s">
        <v>657</v>
      </c>
      <c r="J181" s="292"/>
      <c r="K181" s="10" t="s">
        <v>657</v>
      </c>
    </row>
    <row r="182" spans="2:11" x14ac:dyDescent="0.25">
      <c r="B182" s="335" t="s">
        <v>657</v>
      </c>
      <c r="D182" s="284"/>
      <c r="E182" s="292" t="s">
        <v>657</v>
      </c>
      <c r="F182" s="292">
        <v>49706</v>
      </c>
      <c r="G182" s="292">
        <v>49734</v>
      </c>
      <c r="H182" s="292">
        <v>49748</v>
      </c>
      <c r="I182" s="292" t="s">
        <v>657</v>
      </c>
      <c r="J182" s="292"/>
      <c r="K182" s="10" t="s">
        <v>657</v>
      </c>
    </row>
    <row r="183" spans="2:11" x14ac:dyDescent="0.25">
      <c r="B183" s="335">
        <v>49</v>
      </c>
      <c r="D183" s="284">
        <v>49675</v>
      </c>
      <c r="E183" s="292">
        <v>49765</v>
      </c>
      <c r="F183" s="292">
        <v>49735</v>
      </c>
      <c r="G183" s="292">
        <v>49765</v>
      </c>
      <c r="H183" s="292">
        <v>49782</v>
      </c>
      <c r="I183" s="292">
        <v>49787</v>
      </c>
      <c r="J183" s="292">
        <v>49788</v>
      </c>
      <c r="K183" s="10">
        <v>49790</v>
      </c>
    </row>
    <row r="184" spans="2:11" x14ac:dyDescent="0.25">
      <c r="B184" s="335" t="s">
        <v>657</v>
      </c>
      <c r="D184" s="284"/>
      <c r="E184" s="292" t="s">
        <v>657</v>
      </c>
      <c r="F184" s="292">
        <v>49766</v>
      </c>
      <c r="G184" s="292">
        <v>49795</v>
      </c>
      <c r="H184" s="292">
        <v>49811</v>
      </c>
      <c r="I184" s="292" t="s">
        <v>657</v>
      </c>
      <c r="J184" s="292"/>
      <c r="K184" s="10" t="s">
        <v>657</v>
      </c>
    </row>
    <row r="185" spans="2:11" x14ac:dyDescent="0.25">
      <c r="B185" s="335" t="s">
        <v>657</v>
      </c>
      <c r="D185" s="284"/>
      <c r="E185" s="292" t="s">
        <v>657</v>
      </c>
      <c r="F185" s="292">
        <v>49796</v>
      </c>
      <c r="G185" s="292">
        <v>49826</v>
      </c>
      <c r="H185" s="292">
        <v>49842</v>
      </c>
      <c r="I185" s="292" t="s">
        <v>657</v>
      </c>
      <c r="J185" s="292"/>
      <c r="K185" s="10" t="s">
        <v>657</v>
      </c>
    </row>
    <row r="186" spans="2:11" x14ac:dyDescent="0.25">
      <c r="B186" s="335">
        <v>50</v>
      </c>
      <c r="D186" s="284">
        <v>49766</v>
      </c>
      <c r="E186" s="292">
        <v>49856</v>
      </c>
      <c r="F186" s="292">
        <v>49827</v>
      </c>
      <c r="G186" s="292">
        <v>49856</v>
      </c>
      <c r="H186" s="292">
        <v>49872</v>
      </c>
      <c r="I186" s="292">
        <v>49877</v>
      </c>
      <c r="J186" s="292">
        <v>49879</v>
      </c>
      <c r="K186" s="10">
        <v>49881</v>
      </c>
    </row>
    <row r="187" spans="2:11" x14ac:dyDescent="0.25">
      <c r="B187" s="335" t="s">
        <v>657</v>
      </c>
      <c r="D187" s="284"/>
      <c r="E187" s="292" t="s">
        <v>657</v>
      </c>
      <c r="F187" s="292">
        <v>49857</v>
      </c>
      <c r="G187" s="292">
        <v>49887</v>
      </c>
      <c r="H187" s="292">
        <v>49905</v>
      </c>
      <c r="I187" s="292" t="s">
        <v>657</v>
      </c>
      <c r="J187" s="292"/>
      <c r="K187" s="10" t="s">
        <v>657</v>
      </c>
    </row>
    <row r="188" spans="2:11" x14ac:dyDescent="0.25">
      <c r="B188" s="335" t="s">
        <v>657</v>
      </c>
      <c r="D188" s="284"/>
      <c r="E188" s="292" t="s">
        <v>657</v>
      </c>
      <c r="F188" s="292">
        <v>49888</v>
      </c>
      <c r="G188" s="292">
        <v>49918</v>
      </c>
      <c r="H188" s="292">
        <v>49933</v>
      </c>
      <c r="I188" s="292" t="s">
        <v>657</v>
      </c>
      <c r="J188" s="292"/>
      <c r="K188" s="10" t="s">
        <v>657</v>
      </c>
    </row>
    <row r="189" spans="2:11" x14ac:dyDescent="0.25">
      <c r="B189" s="335">
        <v>51</v>
      </c>
      <c r="D189" s="284">
        <v>49857</v>
      </c>
      <c r="E189" s="292">
        <v>49948</v>
      </c>
      <c r="F189" s="292">
        <v>49919</v>
      </c>
      <c r="G189" s="292">
        <v>49948</v>
      </c>
      <c r="H189" s="292">
        <v>49963</v>
      </c>
      <c r="I189" s="292">
        <v>49968</v>
      </c>
      <c r="J189" s="292">
        <v>49971</v>
      </c>
      <c r="K189" s="10">
        <v>49975</v>
      </c>
    </row>
    <row r="190" spans="2:11" x14ac:dyDescent="0.25">
      <c r="B190" s="335" t="s">
        <v>657</v>
      </c>
      <c r="D190" s="284"/>
      <c r="E190" s="292" t="s">
        <v>657</v>
      </c>
      <c r="F190" s="292">
        <v>49949</v>
      </c>
      <c r="G190" s="292">
        <v>49979</v>
      </c>
      <c r="H190" s="292">
        <v>49996</v>
      </c>
      <c r="I190" s="292" t="s">
        <v>657</v>
      </c>
      <c r="J190" s="292"/>
      <c r="K190" s="10" t="s">
        <v>657</v>
      </c>
    </row>
    <row r="191" spans="2:11" x14ac:dyDescent="0.25">
      <c r="B191" s="335" t="s">
        <v>657</v>
      </c>
      <c r="D191" s="284"/>
      <c r="E191" s="292" t="s">
        <v>657</v>
      </c>
      <c r="F191" s="292">
        <v>49980</v>
      </c>
      <c r="G191" s="292">
        <v>50009</v>
      </c>
      <c r="H191" s="292">
        <v>50024</v>
      </c>
      <c r="I191" s="292" t="s">
        <v>657</v>
      </c>
      <c r="J191" s="292"/>
      <c r="K191" s="10" t="s">
        <v>657</v>
      </c>
    </row>
    <row r="192" spans="2:11" x14ac:dyDescent="0.25">
      <c r="B192" s="335">
        <v>52</v>
      </c>
      <c r="D192" s="284">
        <v>49949</v>
      </c>
      <c r="E192" s="292">
        <v>50040</v>
      </c>
      <c r="F192" s="292">
        <v>50010</v>
      </c>
      <c r="G192" s="292">
        <v>50040</v>
      </c>
      <c r="H192" s="292">
        <v>50055</v>
      </c>
      <c r="I192" s="292">
        <v>50060</v>
      </c>
      <c r="J192" s="292">
        <v>50063</v>
      </c>
      <c r="K192" s="10">
        <v>50067</v>
      </c>
    </row>
    <row r="193" spans="2:11" x14ac:dyDescent="0.25">
      <c r="B193" s="335" t="s">
        <v>657</v>
      </c>
      <c r="D193" s="284"/>
      <c r="E193" s="292" t="s">
        <v>657</v>
      </c>
      <c r="F193" s="292">
        <v>50041</v>
      </c>
      <c r="G193" s="292">
        <v>50071</v>
      </c>
      <c r="H193" s="292">
        <v>50084</v>
      </c>
      <c r="I193" s="292" t="s">
        <v>657</v>
      </c>
      <c r="J193" s="292"/>
      <c r="K193" s="10" t="s">
        <v>657</v>
      </c>
    </row>
    <row r="194" spans="2:11" x14ac:dyDescent="0.25">
      <c r="B194" s="335" t="s">
        <v>657</v>
      </c>
      <c r="D194" s="284"/>
      <c r="E194" s="292" t="s">
        <v>657</v>
      </c>
      <c r="F194" s="292">
        <v>50072</v>
      </c>
      <c r="G194" s="292">
        <v>50099</v>
      </c>
      <c r="H194" s="292">
        <v>50112</v>
      </c>
      <c r="I194" s="292" t="s">
        <v>657</v>
      </c>
      <c r="J194" s="292"/>
      <c r="K194" s="10" t="s">
        <v>657</v>
      </c>
    </row>
    <row r="195" spans="2:11" x14ac:dyDescent="0.25">
      <c r="B195" s="335">
        <v>53</v>
      </c>
      <c r="D195" s="284">
        <v>50041</v>
      </c>
      <c r="E195" s="292">
        <v>50130</v>
      </c>
      <c r="F195" s="292">
        <v>50100</v>
      </c>
      <c r="G195" s="292">
        <v>50130</v>
      </c>
      <c r="H195" s="292">
        <v>50145</v>
      </c>
      <c r="I195" s="292">
        <v>50150</v>
      </c>
      <c r="J195" s="292">
        <v>50153</v>
      </c>
      <c r="K195" s="10">
        <v>50157</v>
      </c>
    </row>
    <row r="196" spans="2:11" x14ac:dyDescent="0.25">
      <c r="B196" s="335" t="s">
        <v>657</v>
      </c>
      <c r="D196" s="284"/>
      <c r="E196" s="292" t="s">
        <v>657</v>
      </c>
      <c r="F196" s="292">
        <v>50131</v>
      </c>
      <c r="G196" s="292">
        <v>50160</v>
      </c>
      <c r="H196" s="292">
        <v>50175</v>
      </c>
      <c r="I196" s="292" t="s">
        <v>657</v>
      </c>
      <c r="J196" s="292"/>
      <c r="K196" s="10" t="s">
        <v>657</v>
      </c>
    </row>
    <row r="197" spans="2:11" x14ac:dyDescent="0.25">
      <c r="B197" s="335" t="s">
        <v>657</v>
      </c>
      <c r="D197" s="284"/>
      <c r="E197" s="292" t="s">
        <v>657</v>
      </c>
      <c r="F197" s="292">
        <v>50161</v>
      </c>
      <c r="G197" s="292">
        <v>50191</v>
      </c>
      <c r="H197" s="292">
        <v>50206</v>
      </c>
      <c r="I197" s="292" t="s">
        <v>657</v>
      </c>
      <c r="J197" s="292"/>
      <c r="K197" s="10" t="s">
        <v>657</v>
      </c>
    </row>
    <row r="198" spans="2:11" x14ac:dyDescent="0.25">
      <c r="B198" s="335">
        <v>54</v>
      </c>
      <c r="D198" s="284">
        <v>50131</v>
      </c>
      <c r="E198" s="292">
        <v>50221</v>
      </c>
      <c r="F198" s="292">
        <v>50192</v>
      </c>
      <c r="G198" s="292">
        <v>50221</v>
      </c>
      <c r="H198" s="292">
        <v>50236</v>
      </c>
      <c r="I198" s="292">
        <v>50241</v>
      </c>
      <c r="J198" s="292">
        <v>50244</v>
      </c>
      <c r="K198" s="10">
        <v>50248</v>
      </c>
    </row>
    <row r="199" spans="2:11" x14ac:dyDescent="0.25">
      <c r="B199" s="335" t="s">
        <v>657</v>
      </c>
      <c r="D199" s="284"/>
      <c r="E199" s="292" t="s">
        <v>657</v>
      </c>
      <c r="F199" s="292">
        <v>50222</v>
      </c>
      <c r="G199" s="292">
        <v>50252</v>
      </c>
      <c r="H199" s="292">
        <v>50266</v>
      </c>
      <c r="I199" s="292" t="s">
        <v>657</v>
      </c>
      <c r="J199" s="292"/>
      <c r="K199" s="10" t="s">
        <v>657</v>
      </c>
    </row>
    <row r="200" spans="2:11" x14ac:dyDescent="0.25">
      <c r="B200" s="335" t="s">
        <v>657</v>
      </c>
      <c r="D200" s="284"/>
      <c r="E200" s="292" t="s">
        <v>657</v>
      </c>
      <c r="F200" s="292">
        <v>50253</v>
      </c>
      <c r="G200" s="292">
        <v>50283</v>
      </c>
      <c r="H200" s="292">
        <v>50298</v>
      </c>
      <c r="I200" s="292" t="s">
        <v>657</v>
      </c>
      <c r="J200" s="292"/>
      <c r="K200" s="10" t="s">
        <v>657</v>
      </c>
    </row>
    <row r="201" spans="2:11" x14ac:dyDescent="0.25">
      <c r="B201" s="335">
        <v>55</v>
      </c>
      <c r="D201" s="284">
        <v>50222</v>
      </c>
      <c r="E201" s="292">
        <v>50313</v>
      </c>
      <c r="F201" s="292">
        <v>50284</v>
      </c>
      <c r="G201" s="292">
        <v>50313</v>
      </c>
      <c r="H201" s="292">
        <v>50328</v>
      </c>
      <c r="I201" s="292">
        <v>50333</v>
      </c>
      <c r="J201" s="292">
        <v>50336</v>
      </c>
      <c r="K201" s="10">
        <v>50340</v>
      </c>
    </row>
    <row r="202" spans="2:11" x14ac:dyDescent="0.25">
      <c r="B202" s="335" t="s">
        <v>657</v>
      </c>
      <c r="D202" s="284"/>
      <c r="E202" s="292" t="s">
        <v>657</v>
      </c>
      <c r="F202" s="292">
        <v>50314</v>
      </c>
      <c r="G202" s="292">
        <v>50344</v>
      </c>
      <c r="H202" s="292">
        <v>50357</v>
      </c>
      <c r="I202" s="292" t="s">
        <v>657</v>
      </c>
      <c r="J202" s="292"/>
      <c r="K202" s="10" t="s">
        <v>657</v>
      </c>
    </row>
    <row r="203" spans="2:11" x14ac:dyDescent="0.25">
      <c r="B203" s="335" t="s">
        <v>657</v>
      </c>
      <c r="D203" s="284"/>
      <c r="E203" s="292" t="s">
        <v>657</v>
      </c>
      <c r="F203" s="292">
        <v>50345</v>
      </c>
      <c r="G203" s="292">
        <v>50374</v>
      </c>
      <c r="H203" s="292">
        <v>50389</v>
      </c>
      <c r="I203" s="292" t="s">
        <v>657</v>
      </c>
      <c r="J203" s="292"/>
      <c r="K203" s="10" t="s">
        <v>657</v>
      </c>
    </row>
    <row r="204" spans="2:11" x14ac:dyDescent="0.25">
      <c r="B204" s="335">
        <v>56</v>
      </c>
      <c r="D204" s="284">
        <v>50314</v>
      </c>
      <c r="E204" s="292">
        <v>50405</v>
      </c>
      <c r="F204" s="292">
        <v>50375</v>
      </c>
      <c r="G204" s="292">
        <v>50405</v>
      </c>
      <c r="H204" s="292">
        <v>50420</v>
      </c>
      <c r="I204" s="292">
        <v>50425</v>
      </c>
      <c r="J204" s="292">
        <v>50430</v>
      </c>
      <c r="K204" s="10">
        <v>50432</v>
      </c>
    </row>
    <row r="205" spans="2:11" x14ac:dyDescent="0.25">
      <c r="B205" s="335" t="s">
        <v>657</v>
      </c>
      <c r="D205" s="284"/>
      <c r="E205" s="292" t="s">
        <v>657</v>
      </c>
      <c r="F205" s="292">
        <v>50406</v>
      </c>
      <c r="G205" s="292">
        <v>50436</v>
      </c>
      <c r="H205" s="292">
        <v>50451</v>
      </c>
      <c r="I205" s="292" t="s">
        <v>657</v>
      </c>
      <c r="J205" s="292"/>
      <c r="K205" s="10" t="s">
        <v>657</v>
      </c>
    </row>
    <row r="206" spans="2:11" x14ac:dyDescent="0.25">
      <c r="B206" s="335" t="s">
        <v>657</v>
      </c>
      <c r="D206" s="284"/>
      <c r="E206" s="292" t="s">
        <v>657</v>
      </c>
      <c r="F206" s="292">
        <v>50437</v>
      </c>
      <c r="G206" s="292">
        <v>50464</v>
      </c>
      <c r="H206" s="292">
        <v>50479</v>
      </c>
      <c r="I206" s="292" t="s">
        <v>657</v>
      </c>
      <c r="J206" s="292"/>
      <c r="K206" s="10" t="s">
        <v>657</v>
      </c>
    </row>
    <row r="207" spans="2:11" x14ac:dyDescent="0.25">
      <c r="B207" s="335">
        <v>57</v>
      </c>
      <c r="D207" s="284">
        <v>50406</v>
      </c>
      <c r="E207" s="292">
        <v>50495</v>
      </c>
      <c r="F207" s="292">
        <v>50465</v>
      </c>
      <c r="G207" s="292">
        <v>50495</v>
      </c>
      <c r="H207" s="292">
        <v>50510</v>
      </c>
      <c r="I207" s="292">
        <v>50515</v>
      </c>
      <c r="J207" s="292">
        <v>50518</v>
      </c>
      <c r="K207" s="10">
        <v>50522</v>
      </c>
    </row>
    <row r="208" spans="2:11" x14ac:dyDescent="0.25">
      <c r="B208" s="335" t="s">
        <v>657</v>
      </c>
      <c r="D208" s="284"/>
      <c r="E208" s="292" t="s">
        <v>657</v>
      </c>
      <c r="F208" s="292">
        <v>50496</v>
      </c>
      <c r="G208" s="292">
        <v>50525</v>
      </c>
      <c r="H208" s="292">
        <v>50539</v>
      </c>
      <c r="I208" s="292" t="s">
        <v>657</v>
      </c>
      <c r="J208" s="292"/>
      <c r="K208" s="10" t="s">
        <v>657</v>
      </c>
    </row>
    <row r="209" spans="2:11" x14ac:dyDescent="0.25">
      <c r="B209" s="335" t="s">
        <v>657</v>
      </c>
      <c r="D209" s="284"/>
      <c r="E209" s="292" t="s">
        <v>657</v>
      </c>
      <c r="F209" s="292">
        <v>50526</v>
      </c>
      <c r="G209" s="292">
        <v>50556</v>
      </c>
      <c r="H209" s="292">
        <v>50571</v>
      </c>
      <c r="I209" s="292" t="s">
        <v>657</v>
      </c>
      <c r="J209" s="292"/>
      <c r="K209" s="10" t="s">
        <v>657</v>
      </c>
    </row>
    <row r="210" spans="2:11" x14ac:dyDescent="0.25">
      <c r="B210" s="335">
        <v>58</v>
      </c>
      <c r="D210" s="284">
        <v>50496</v>
      </c>
      <c r="E210" s="292">
        <v>50586</v>
      </c>
      <c r="F210" s="292">
        <v>50557</v>
      </c>
      <c r="G210" s="292">
        <v>50586</v>
      </c>
      <c r="H210" s="292">
        <v>50601</v>
      </c>
      <c r="I210" s="292">
        <v>50606</v>
      </c>
      <c r="J210" s="292">
        <v>50609</v>
      </c>
      <c r="K210" s="10">
        <v>50613</v>
      </c>
    </row>
    <row r="211" spans="2:11" x14ac:dyDescent="0.25">
      <c r="B211" s="335" t="s">
        <v>657</v>
      </c>
      <c r="D211" s="284"/>
      <c r="E211" s="292" t="s">
        <v>657</v>
      </c>
      <c r="F211" s="292">
        <v>50587</v>
      </c>
      <c r="G211" s="292">
        <v>50617</v>
      </c>
      <c r="H211" s="292">
        <v>50630</v>
      </c>
      <c r="I211" s="292" t="s">
        <v>657</v>
      </c>
      <c r="J211" s="292"/>
      <c r="K211" s="10" t="s">
        <v>657</v>
      </c>
    </row>
    <row r="212" spans="2:11" x14ac:dyDescent="0.25">
      <c r="B212" s="335" t="s">
        <v>657</v>
      </c>
      <c r="D212" s="284"/>
      <c r="E212" s="292" t="s">
        <v>657</v>
      </c>
      <c r="F212" s="292">
        <v>50618</v>
      </c>
      <c r="G212" s="292">
        <v>50648</v>
      </c>
      <c r="H212" s="292">
        <v>50663</v>
      </c>
      <c r="I212" s="292" t="s">
        <v>657</v>
      </c>
      <c r="J212" s="292"/>
      <c r="K212" s="10" t="s">
        <v>657</v>
      </c>
    </row>
    <row r="213" spans="2:11" x14ac:dyDescent="0.25">
      <c r="B213" s="335">
        <v>59</v>
      </c>
      <c r="D213" s="284">
        <v>50587</v>
      </c>
      <c r="E213" s="292">
        <v>50678</v>
      </c>
      <c r="F213" s="292">
        <v>50649</v>
      </c>
      <c r="G213" s="292">
        <v>50678</v>
      </c>
      <c r="H213" s="292">
        <v>50693</v>
      </c>
      <c r="I213" s="292">
        <v>50698</v>
      </c>
      <c r="J213" s="292">
        <v>50703</v>
      </c>
      <c r="K213" s="10">
        <v>50705</v>
      </c>
    </row>
    <row r="214" spans="2:11" x14ac:dyDescent="0.25">
      <c r="B214" s="335" t="s">
        <v>657</v>
      </c>
      <c r="D214" s="284"/>
      <c r="E214" s="292" t="s">
        <v>657</v>
      </c>
      <c r="F214" s="292">
        <v>50679</v>
      </c>
      <c r="G214" s="292">
        <v>50709</v>
      </c>
      <c r="H214" s="292">
        <v>50724</v>
      </c>
      <c r="I214" s="292" t="s">
        <v>657</v>
      </c>
      <c r="J214" s="292"/>
      <c r="K214" s="10" t="s">
        <v>657</v>
      </c>
    </row>
    <row r="215" spans="2:11" x14ac:dyDescent="0.25">
      <c r="B215" s="335" t="s">
        <v>657</v>
      </c>
      <c r="D215" s="284"/>
      <c r="E215" s="292" t="s">
        <v>657</v>
      </c>
      <c r="F215" s="292">
        <v>50710</v>
      </c>
      <c r="G215" s="292">
        <v>50739</v>
      </c>
      <c r="H215" s="292">
        <v>50754</v>
      </c>
      <c r="I215" s="292" t="s">
        <v>657</v>
      </c>
      <c r="J215" s="292"/>
      <c r="K215" s="10" t="s">
        <v>657</v>
      </c>
    </row>
    <row r="216" spans="2:11" x14ac:dyDescent="0.25">
      <c r="B216" s="335">
        <v>60</v>
      </c>
      <c r="D216" s="284">
        <v>50679</v>
      </c>
      <c r="E216" s="292">
        <v>50770</v>
      </c>
      <c r="F216" s="292">
        <v>50740</v>
      </c>
      <c r="G216" s="292">
        <v>50770</v>
      </c>
      <c r="H216" s="292">
        <v>50784</v>
      </c>
      <c r="I216" s="292">
        <v>50790</v>
      </c>
      <c r="J216" s="292">
        <v>50794</v>
      </c>
      <c r="K216" s="10">
        <v>50796</v>
      </c>
    </row>
    <row r="217" spans="2:11" x14ac:dyDescent="0.25">
      <c r="B217" s="335" t="s">
        <v>657</v>
      </c>
      <c r="D217" s="284"/>
      <c r="E217" s="292" t="s">
        <v>657</v>
      </c>
      <c r="F217" s="292">
        <v>50771</v>
      </c>
      <c r="G217" s="292">
        <v>50801</v>
      </c>
      <c r="H217" s="292">
        <v>50816</v>
      </c>
      <c r="I217" s="292" t="s">
        <v>657</v>
      </c>
      <c r="J217" s="292"/>
      <c r="K217" s="10" t="s">
        <v>657</v>
      </c>
    </row>
    <row r="218" spans="2:11" x14ac:dyDescent="0.25">
      <c r="B218" s="335" t="s">
        <v>657</v>
      </c>
      <c r="D218" s="284"/>
      <c r="E218" s="292" t="s">
        <v>657</v>
      </c>
      <c r="F218" s="292">
        <v>50802</v>
      </c>
      <c r="G218" s="292">
        <v>50829</v>
      </c>
      <c r="H218" s="292">
        <v>50844</v>
      </c>
      <c r="I218" s="292" t="s">
        <v>657</v>
      </c>
      <c r="J218" s="292"/>
      <c r="K218" s="10" t="s">
        <v>657</v>
      </c>
    </row>
    <row r="219" spans="2:11" x14ac:dyDescent="0.25">
      <c r="B219" s="335">
        <v>61</v>
      </c>
      <c r="D219" s="284">
        <v>50771</v>
      </c>
      <c r="E219" s="292">
        <v>50860</v>
      </c>
      <c r="F219" s="292">
        <v>50830</v>
      </c>
      <c r="G219" s="292">
        <v>50860</v>
      </c>
      <c r="H219" s="292">
        <v>50875</v>
      </c>
      <c r="I219" s="292">
        <v>50880</v>
      </c>
      <c r="J219" s="292">
        <v>50885</v>
      </c>
      <c r="K219" s="10">
        <v>50887</v>
      </c>
    </row>
    <row r="220" spans="2:11" x14ac:dyDescent="0.25">
      <c r="B220" s="335" t="s">
        <v>657</v>
      </c>
      <c r="D220" s="284"/>
      <c r="E220" s="292" t="s">
        <v>657</v>
      </c>
      <c r="F220" s="292">
        <v>50861</v>
      </c>
      <c r="G220" s="292">
        <v>50890</v>
      </c>
      <c r="H220" s="292">
        <v>50903</v>
      </c>
      <c r="I220" s="292" t="s">
        <v>657</v>
      </c>
      <c r="J220" s="292"/>
      <c r="K220" s="10" t="s">
        <v>657</v>
      </c>
    </row>
    <row r="221" spans="2:11" x14ac:dyDescent="0.25">
      <c r="B221" s="335" t="s">
        <v>657</v>
      </c>
      <c r="D221" s="284"/>
      <c r="E221" s="292" t="s">
        <v>657</v>
      </c>
      <c r="F221" s="292">
        <v>50891</v>
      </c>
      <c r="G221" s="292">
        <v>50921</v>
      </c>
      <c r="H221" s="292">
        <v>50936</v>
      </c>
      <c r="I221" s="292" t="s">
        <v>657</v>
      </c>
      <c r="J221" s="292"/>
      <c r="K221" s="10" t="s">
        <v>657</v>
      </c>
    </row>
    <row r="222" spans="2:11" x14ac:dyDescent="0.25">
      <c r="B222" s="335">
        <v>62</v>
      </c>
      <c r="D222" s="284">
        <v>50861</v>
      </c>
      <c r="E222" s="292">
        <v>50951</v>
      </c>
      <c r="F222" s="292">
        <v>50922</v>
      </c>
      <c r="G222" s="292">
        <v>50951</v>
      </c>
      <c r="H222" s="292">
        <v>50966</v>
      </c>
      <c r="I222" s="292">
        <v>50971</v>
      </c>
      <c r="J222" s="292">
        <v>50976</v>
      </c>
      <c r="K222" s="10">
        <v>50978</v>
      </c>
    </row>
    <row r="223" spans="2:11" x14ac:dyDescent="0.25">
      <c r="B223" s="335" t="s">
        <v>657</v>
      </c>
      <c r="D223" s="284"/>
      <c r="E223" s="292" t="s">
        <v>657</v>
      </c>
      <c r="F223" s="292">
        <v>50952</v>
      </c>
      <c r="G223" s="292">
        <v>50982</v>
      </c>
      <c r="H223" s="292">
        <v>50997</v>
      </c>
      <c r="I223" s="292" t="s">
        <v>657</v>
      </c>
      <c r="J223" s="292"/>
      <c r="K223" s="10" t="s">
        <v>657</v>
      </c>
    </row>
    <row r="224" spans="2:11" x14ac:dyDescent="0.25">
      <c r="B224" s="335" t="s">
        <v>657</v>
      </c>
      <c r="D224" s="284"/>
      <c r="E224" s="292" t="s">
        <v>657</v>
      </c>
      <c r="F224" s="292">
        <v>50983</v>
      </c>
      <c r="G224" s="292">
        <v>51013</v>
      </c>
      <c r="H224" s="292">
        <v>51028</v>
      </c>
      <c r="I224" s="292" t="s">
        <v>657</v>
      </c>
      <c r="J224" s="292"/>
      <c r="K224" s="10" t="s">
        <v>657</v>
      </c>
    </row>
    <row r="225" spans="2:11" x14ac:dyDescent="0.25">
      <c r="B225" s="335">
        <v>63</v>
      </c>
      <c r="D225" s="284">
        <v>50952</v>
      </c>
      <c r="E225" s="292">
        <v>51043</v>
      </c>
      <c r="F225" s="292">
        <v>51014</v>
      </c>
      <c r="G225" s="292">
        <v>51043</v>
      </c>
      <c r="H225" s="292">
        <v>51057</v>
      </c>
      <c r="I225" s="292">
        <v>51063</v>
      </c>
      <c r="J225" s="292">
        <v>51067</v>
      </c>
      <c r="K225" s="10">
        <v>51069</v>
      </c>
    </row>
    <row r="226" spans="2:11" x14ac:dyDescent="0.25">
      <c r="B226" s="335" t="s">
        <v>657</v>
      </c>
      <c r="D226" s="284"/>
      <c r="E226" s="292" t="s">
        <v>657</v>
      </c>
      <c r="F226" s="292">
        <v>51044</v>
      </c>
      <c r="G226" s="292">
        <v>51074</v>
      </c>
      <c r="H226" s="292">
        <v>51089</v>
      </c>
      <c r="I226" s="292" t="s">
        <v>657</v>
      </c>
      <c r="J226" s="292"/>
      <c r="K226" s="10" t="s">
        <v>657</v>
      </c>
    </row>
    <row r="227" spans="2:11" x14ac:dyDescent="0.25">
      <c r="B227" s="335" t="s">
        <v>657</v>
      </c>
      <c r="D227" s="284"/>
      <c r="E227" s="292" t="s">
        <v>657</v>
      </c>
      <c r="F227" s="292">
        <v>51075</v>
      </c>
      <c r="G227" s="292">
        <v>51104</v>
      </c>
      <c r="H227" s="292">
        <v>51119</v>
      </c>
      <c r="I227" s="292" t="s">
        <v>657</v>
      </c>
      <c r="J227" s="292"/>
      <c r="K227" s="10" t="s">
        <v>657</v>
      </c>
    </row>
    <row r="228" spans="2:11" x14ac:dyDescent="0.25">
      <c r="B228" s="335">
        <v>64</v>
      </c>
      <c r="D228" s="284">
        <v>51044</v>
      </c>
      <c r="E228" s="292">
        <v>51135</v>
      </c>
      <c r="F228" s="292">
        <v>51105</v>
      </c>
      <c r="G228" s="292">
        <v>51135</v>
      </c>
      <c r="H228" s="292">
        <v>51148</v>
      </c>
      <c r="I228" s="292">
        <v>51154</v>
      </c>
      <c r="J228" s="292">
        <v>51158</v>
      </c>
      <c r="K228" s="10">
        <v>51160</v>
      </c>
    </row>
    <row r="229" spans="2:11" x14ac:dyDescent="0.25">
      <c r="B229" s="335" t="s">
        <v>657</v>
      </c>
      <c r="D229" s="284"/>
      <c r="E229" s="292" t="s">
        <v>657</v>
      </c>
      <c r="F229" s="292">
        <v>51136</v>
      </c>
      <c r="G229" s="292">
        <v>51166</v>
      </c>
      <c r="H229" s="292">
        <v>51181</v>
      </c>
      <c r="I229" s="292" t="s">
        <v>657</v>
      </c>
      <c r="J229" s="292"/>
      <c r="K229" s="10" t="s">
        <v>657</v>
      </c>
    </row>
    <row r="230" spans="2:11" x14ac:dyDescent="0.25">
      <c r="B230" s="335" t="s">
        <v>657</v>
      </c>
      <c r="D230" s="284"/>
      <c r="E230" s="292" t="s">
        <v>657</v>
      </c>
      <c r="F230" s="292">
        <v>51167</v>
      </c>
      <c r="G230" s="292">
        <v>51195</v>
      </c>
      <c r="H230" s="292">
        <v>51210</v>
      </c>
      <c r="I230" s="292" t="s">
        <v>657</v>
      </c>
      <c r="J230" s="292"/>
      <c r="K230" s="10" t="s">
        <v>657</v>
      </c>
    </row>
    <row r="231" spans="2:11" x14ac:dyDescent="0.25">
      <c r="B231" s="335">
        <v>65</v>
      </c>
      <c r="D231" s="284">
        <v>51136</v>
      </c>
      <c r="E231" s="292">
        <v>51226</v>
      </c>
      <c r="F231" s="292">
        <v>51196</v>
      </c>
      <c r="G231" s="292">
        <v>51226</v>
      </c>
      <c r="H231" s="292">
        <v>51239</v>
      </c>
      <c r="I231" s="292">
        <v>51245</v>
      </c>
      <c r="J231" s="292">
        <v>51249</v>
      </c>
      <c r="K231" s="10">
        <v>51251</v>
      </c>
    </row>
    <row r="232" spans="2:11" x14ac:dyDescent="0.25">
      <c r="B232" s="335" t="s">
        <v>657</v>
      </c>
      <c r="D232" s="284"/>
      <c r="E232" s="292" t="s">
        <v>657</v>
      </c>
      <c r="F232" s="292">
        <v>51227</v>
      </c>
      <c r="G232" s="292">
        <v>51256</v>
      </c>
      <c r="H232" s="292">
        <v>51271</v>
      </c>
      <c r="I232" s="292" t="s">
        <v>657</v>
      </c>
      <c r="J232" s="292"/>
      <c r="K232" s="10" t="s">
        <v>657</v>
      </c>
    </row>
    <row r="233" spans="2:11" x14ac:dyDescent="0.25">
      <c r="B233" s="335" t="s">
        <v>657</v>
      </c>
      <c r="D233" s="284"/>
      <c r="E233" s="292" t="s">
        <v>657</v>
      </c>
      <c r="F233" s="292">
        <v>51257</v>
      </c>
      <c r="G233" s="292">
        <v>51287</v>
      </c>
      <c r="H233" s="292">
        <v>51302</v>
      </c>
      <c r="I233" s="292" t="s">
        <v>657</v>
      </c>
      <c r="J233" s="292"/>
      <c r="K233" s="10" t="s">
        <v>657</v>
      </c>
    </row>
    <row r="234" spans="2:11" x14ac:dyDescent="0.25">
      <c r="B234" s="335">
        <v>66</v>
      </c>
      <c r="D234" s="284">
        <v>51227</v>
      </c>
      <c r="E234" s="292">
        <v>51317</v>
      </c>
      <c r="F234" s="292">
        <v>51288</v>
      </c>
      <c r="G234" s="292">
        <v>51317</v>
      </c>
      <c r="H234" s="292">
        <v>51330</v>
      </c>
      <c r="I234" s="292">
        <v>51336</v>
      </c>
      <c r="J234" s="292">
        <v>51340</v>
      </c>
      <c r="K234" s="10">
        <v>51342</v>
      </c>
    </row>
    <row r="235" spans="2:11" x14ac:dyDescent="0.25">
      <c r="B235" s="335" t="s">
        <v>657</v>
      </c>
      <c r="D235" s="284"/>
      <c r="E235" s="292" t="s">
        <v>657</v>
      </c>
      <c r="F235" s="292">
        <v>51318</v>
      </c>
      <c r="G235" s="292">
        <v>51348</v>
      </c>
      <c r="H235" s="292">
        <v>51363</v>
      </c>
      <c r="I235" s="292" t="s">
        <v>657</v>
      </c>
      <c r="J235" s="292"/>
      <c r="K235" s="10" t="s">
        <v>657</v>
      </c>
    </row>
    <row r="236" spans="2:11" x14ac:dyDescent="0.25">
      <c r="B236" s="335" t="s">
        <v>657</v>
      </c>
      <c r="D236" s="284"/>
      <c r="E236" s="292" t="s">
        <v>657</v>
      </c>
      <c r="F236" s="292">
        <v>51349</v>
      </c>
      <c r="G236" s="292">
        <v>51379</v>
      </c>
      <c r="H236" s="292">
        <v>51393</v>
      </c>
      <c r="I236" s="292" t="s">
        <v>657</v>
      </c>
      <c r="J236" s="292"/>
      <c r="K236" s="10" t="s">
        <v>657</v>
      </c>
    </row>
    <row r="237" spans="2:11" x14ac:dyDescent="0.25">
      <c r="B237" s="335">
        <v>67</v>
      </c>
      <c r="D237" s="284">
        <v>51318</v>
      </c>
      <c r="E237" s="292">
        <v>51409</v>
      </c>
      <c r="F237" s="292">
        <v>51380</v>
      </c>
      <c r="G237" s="292">
        <v>51409</v>
      </c>
      <c r="H237" s="292">
        <v>51424</v>
      </c>
      <c r="I237" s="292">
        <v>51427</v>
      </c>
      <c r="J237" s="292">
        <v>51432</v>
      </c>
      <c r="K237" s="10">
        <v>51434</v>
      </c>
    </row>
    <row r="238" spans="2:11" x14ac:dyDescent="0.25">
      <c r="B238" s="335" t="s">
        <v>657</v>
      </c>
      <c r="D238" s="284"/>
      <c r="E238" s="292" t="s">
        <v>657</v>
      </c>
      <c r="F238" s="292">
        <v>51410</v>
      </c>
      <c r="G238" s="292">
        <v>51440</v>
      </c>
      <c r="H238" s="292">
        <v>51455</v>
      </c>
      <c r="I238" s="292" t="s">
        <v>657</v>
      </c>
      <c r="J238" s="292"/>
      <c r="K238" s="10" t="s">
        <v>657</v>
      </c>
    </row>
    <row r="239" spans="2:11" x14ac:dyDescent="0.25">
      <c r="B239" s="335" t="s">
        <v>657</v>
      </c>
      <c r="D239" s="284"/>
      <c r="E239" s="292" t="s">
        <v>657</v>
      </c>
      <c r="F239" s="292">
        <v>51441</v>
      </c>
      <c r="G239" s="292">
        <v>51470</v>
      </c>
      <c r="H239" s="292">
        <v>51484</v>
      </c>
      <c r="I239" s="292" t="s">
        <v>657</v>
      </c>
      <c r="J239" s="292"/>
      <c r="K239" s="10" t="s">
        <v>657</v>
      </c>
    </row>
    <row r="240" spans="2:11" x14ac:dyDescent="0.25">
      <c r="B240" s="335">
        <v>68</v>
      </c>
      <c r="D240" s="284">
        <v>51410</v>
      </c>
      <c r="E240" s="292">
        <v>51501</v>
      </c>
      <c r="F240" s="292">
        <v>51471</v>
      </c>
      <c r="G240" s="292">
        <v>51501</v>
      </c>
      <c r="H240" s="292">
        <v>51516</v>
      </c>
      <c r="I240" s="292">
        <v>51519</v>
      </c>
      <c r="J240" s="292">
        <v>51524</v>
      </c>
      <c r="K240" s="10">
        <v>51526</v>
      </c>
    </row>
    <row r="241" spans="2:11" x14ac:dyDescent="0.25">
      <c r="B241" s="335" t="s">
        <v>657</v>
      </c>
      <c r="D241" s="284"/>
      <c r="E241" s="292" t="s">
        <v>657</v>
      </c>
      <c r="F241" s="292">
        <v>51502</v>
      </c>
      <c r="G241" s="292">
        <v>51532</v>
      </c>
      <c r="H241" s="292">
        <v>51547</v>
      </c>
      <c r="I241" s="292" t="s">
        <v>657</v>
      </c>
      <c r="J241" s="292"/>
      <c r="K241" s="10" t="s">
        <v>657</v>
      </c>
    </row>
    <row r="242" spans="2:11" x14ac:dyDescent="0.25">
      <c r="B242" s="335" t="s">
        <v>657</v>
      </c>
      <c r="D242" s="284"/>
      <c r="E242" s="292" t="s">
        <v>657</v>
      </c>
      <c r="F242" s="292">
        <v>51533</v>
      </c>
      <c r="G242" s="292">
        <v>51560</v>
      </c>
      <c r="H242" s="292">
        <v>51575</v>
      </c>
      <c r="I242" s="292" t="s">
        <v>657</v>
      </c>
      <c r="J242" s="292"/>
      <c r="K242" s="10" t="s">
        <v>657</v>
      </c>
    </row>
    <row r="243" spans="2:11" x14ac:dyDescent="0.25">
      <c r="B243" s="335">
        <v>69</v>
      </c>
      <c r="D243" s="284">
        <v>51502</v>
      </c>
      <c r="E243" s="292">
        <v>51591</v>
      </c>
      <c r="F243" s="292">
        <v>51561</v>
      </c>
      <c r="G243" s="292">
        <v>51591</v>
      </c>
      <c r="H243" s="292">
        <v>51606</v>
      </c>
      <c r="I243" s="292">
        <v>51609</v>
      </c>
      <c r="J243" s="292">
        <v>51614</v>
      </c>
      <c r="K243" s="10">
        <v>51616</v>
      </c>
    </row>
    <row r="244" spans="2:11" x14ac:dyDescent="0.25">
      <c r="B244" s="335" t="s">
        <v>657</v>
      </c>
      <c r="D244" s="284"/>
      <c r="E244" s="292" t="s">
        <v>657</v>
      </c>
      <c r="F244" s="292">
        <v>51592</v>
      </c>
      <c r="G244" s="292">
        <v>51621</v>
      </c>
      <c r="H244" s="292">
        <v>51636</v>
      </c>
      <c r="I244" s="292" t="s">
        <v>657</v>
      </c>
      <c r="J244" s="292"/>
      <c r="K244" s="10" t="s">
        <v>657</v>
      </c>
    </row>
    <row r="245" spans="2:11" x14ac:dyDescent="0.25">
      <c r="B245" s="335" t="s">
        <v>657</v>
      </c>
      <c r="D245" s="284"/>
      <c r="E245" s="292" t="s">
        <v>657</v>
      </c>
      <c r="F245" s="292">
        <v>51622</v>
      </c>
      <c r="G245" s="292">
        <v>51652</v>
      </c>
      <c r="H245" s="292">
        <v>51666</v>
      </c>
      <c r="I245" s="292" t="s">
        <v>657</v>
      </c>
      <c r="J245" s="292"/>
      <c r="K245" s="10" t="s">
        <v>657</v>
      </c>
    </row>
    <row r="246" spans="2:11" x14ac:dyDescent="0.25">
      <c r="B246" s="335">
        <v>70</v>
      </c>
      <c r="D246" s="284">
        <v>51592</v>
      </c>
      <c r="E246" s="292">
        <v>51682</v>
      </c>
      <c r="F246" s="292">
        <v>51653</v>
      </c>
      <c r="G246" s="292">
        <v>51682</v>
      </c>
      <c r="H246" s="292">
        <v>51697</v>
      </c>
      <c r="I246" s="292">
        <v>51700</v>
      </c>
      <c r="J246" s="292">
        <v>51705</v>
      </c>
      <c r="K246" s="10">
        <v>51707</v>
      </c>
    </row>
    <row r="247" spans="2:11" x14ac:dyDescent="0.25">
      <c r="B247" s="335" t="s">
        <v>657</v>
      </c>
      <c r="D247" s="284"/>
      <c r="E247" s="292" t="s">
        <v>657</v>
      </c>
      <c r="F247" s="292">
        <v>51683</v>
      </c>
      <c r="G247" s="292">
        <v>51713</v>
      </c>
      <c r="H247" s="292">
        <v>51728</v>
      </c>
      <c r="I247" s="292" t="s">
        <v>657</v>
      </c>
      <c r="J247" s="292"/>
      <c r="K247" s="10" t="s">
        <v>657</v>
      </c>
    </row>
    <row r="248" spans="2:11" x14ac:dyDescent="0.25">
      <c r="B248" s="335" t="s">
        <v>657</v>
      </c>
      <c r="D248" s="284"/>
      <c r="E248" s="292" t="s">
        <v>657</v>
      </c>
      <c r="F248" s="292">
        <v>51714</v>
      </c>
      <c r="G248" s="292">
        <v>51744</v>
      </c>
      <c r="H248" s="292">
        <v>51757</v>
      </c>
      <c r="I248" s="292" t="s">
        <v>657</v>
      </c>
      <c r="J248" s="292"/>
      <c r="K248" s="10" t="s">
        <v>657</v>
      </c>
    </row>
    <row r="249" spans="2:11" x14ac:dyDescent="0.25">
      <c r="B249" s="335">
        <v>71</v>
      </c>
      <c r="D249" s="284">
        <v>51683</v>
      </c>
      <c r="E249" s="292">
        <v>51774</v>
      </c>
      <c r="F249" s="292">
        <v>51745</v>
      </c>
      <c r="G249" s="292">
        <v>51774</v>
      </c>
      <c r="H249" s="292">
        <v>51789</v>
      </c>
      <c r="I249" s="292">
        <v>51792</v>
      </c>
      <c r="J249" s="292">
        <v>51797</v>
      </c>
      <c r="K249" s="10">
        <v>51799</v>
      </c>
    </row>
    <row r="250" spans="2:11" x14ac:dyDescent="0.25">
      <c r="B250" s="335" t="s">
        <v>657</v>
      </c>
      <c r="D250" s="284"/>
      <c r="E250" s="292" t="s">
        <v>657</v>
      </c>
      <c r="F250" s="292">
        <v>51775</v>
      </c>
      <c r="G250" s="292">
        <v>51805</v>
      </c>
      <c r="H250" s="292">
        <v>51820</v>
      </c>
      <c r="I250" s="292" t="s">
        <v>657</v>
      </c>
      <c r="J250" s="292"/>
      <c r="K250" s="10" t="s">
        <v>657</v>
      </c>
    </row>
    <row r="251" spans="2:11" x14ac:dyDescent="0.25">
      <c r="B251" s="335" t="s">
        <v>657</v>
      </c>
      <c r="D251" s="284"/>
      <c r="E251" s="292" t="s">
        <v>657</v>
      </c>
      <c r="F251" s="292">
        <v>51806</v>
      </c>
      <c r="G251" s="292">
        <v>51835</v>
      </c>
      <c r="H251" s="292">
        <v>51848</v>
      </c>
      <c r="I251" s="292" t="s">
        <v>657</v>
      </c>
      <c r="J251" s="292"/>
      <c r="K251" s="10" t="s">
        <v>657</v>
      </c>
    </row>
    <row r="252" spans="2:11" x14ac:dyDescent="0.25">
      <c r="B252" s="335">
        <v>72</v>
      </c>
      <c r="D252" s="284">
        <v>51775</v>
      </c>
      <c r="E252" s="292">
        <v>51866</v>
      </c>
      <c r="F252" s="292">
        <v>51836</v>
      </c>
      <c r="G252" s="292">
        <v>51866</v>
      </c>
      <c r="H252" s="292">
        <v>51881</v>
      </c>
      <c r="I252" s="292">
        <v>51886</v>
      </c>
      <c r="J252" s="292">
        <v>51889</v>
      </c>
      <c r="K252" s="10">
        <v>51893</v>
      </c>
    </row>
    <row r="253" spans="2:11" x14ac:dyDescent="0.25">
      <c r="B253" s="335" t="s">
        <v>657</v>
      </c>
      <c r="D253" s="284"/>
      <c r="E253" s="292" t="s">
        <v>657</v>
      </c>
      <c r="F253" s="292">
        <v>51867</v>
      </c>
      <c r="G253" s="292">
        <v>51897</v>
      </c>
      <c r="H253" s="292">
        <v>51911</v>
      </c>
      <c r="I253" s="292" t="s">
        <v>657</v>
      </c>
      <c r="J253" s="292"/>
      <c r="K253" s="10" t="s">
        <v>657</v>
      </c>
    </row>
    <row r="254" spans="2:11" x14ac:dyDescent="0.25">
      <c r="B254" s="335" t="s">
        <v>657</v>
      </c>
      <c r="D254" s="284"/>
      <c r="E254" s="292" t="s">
        <v>657</v>
      </c>
      <c r="F254" s="292">
        <v>51898</v>
      </c>
      <c r="G254" s="292">
        <v>51925</v>
      </c>
      <c r="H254" s="292">
        <v>51939</v>
      </c>
      <c r="I254" s="292" t="s">
        <v>657</v>
      </c>
      <c r="J254" s="292"/>
      <c r="K254" s="10" t="s">
        <v>657</v>
      </c>
    </row>
    <row r="255" spans="2:11" x14ac:dyDescent="0.25">
      <c r="B255" s="335">
        <v>73</v>
      </c>
      <c r="D255" s="284">
        <v>51867</v>
      </c>
      <c r="E255" s="292">
        <v>51956</v>
      </c>
      <c r="F255" s="292">
        <v>51926</v>
      </c>
      <c r="G255" s="292">
        <v>51956</v>
      </c>
      <c r="H255" s="292">
        <v>51971</v>
      </c>
      <c r="I255" s="292">
        <v>51974</v>
      </c>
      <c r="J255" s="292">
        <v>51979</v>
      </c>
      <c r="K255" s="10">
        <v>51981</v>
      </c>
    </row>
    <row r="256" spans="2:11" x14ac:dyDescent="0.25">
      <c r="B256" s="335" t="s">
        <v>657</v>
      </c>
      <c r="D256" s="284"/>
      <c r="E256" s="292" t="s">
        <v>657</v>
      </c>
      <c r="F256" s="292">
        <v>51957</v>
      </c>
      <c r="G256" s="292">
        <v>51986</v>
      </c>
      <c r="H256" s="292">
        <v>52001</v>
      </c>
      <c r="I256" s="292" t="s">
        <v>657</v>
      </c>
      <c r="J256" s="292"/>
      <c r="K256" s="10" t="s">
        <v>657</v>
      </c>
    </row>
    <row r="257" spans="2:11" x14ac:dyDescent="0.25">
      <c r="B257" s="335" t="s">
        <v>657</v>
      </c>
      <c r="D257" s="284"/>
      <c r="E257" s="292" t="s">
        <v>657</v>
      </c>
      <c r="F257" s="292">
        <v>51987</v>
      </c>
      <c r="G257" s="292">
        <v>52017</v>
      </c>
      <c r="H257" s="292">
        <v>52030</v>
      </c>
      <c r="I257" s="292" t="s">
        <v>657</v>
      </c>
      <c r="J257" s="292"/>
      <c r="K257" s="10" t="s">
        <v>657</v>
      </c>
    </row>
    <row r="258" spans="2:11" x14ac:dyDescent="0.25">
      <c r="B258" s="335">
        <v>74</v>
      </c>
      <c r="D258" s="284">
        <v>51957</v>
      </c>
      <c r="E258" s="292">
        <v>52047</v>
      </c>
      <c r="F258" s="292">
        <v>52018</v>
      </c>
      <c r="G258" s="292">
        <v>52047</v>
      </c>
      <c r="H258" s="292">
        <v>52062</v>
      </c>
      <c r="I258" s="292">
        <v>52065</v>
      </c>
      <c r="J258" s="292">
        <v>52070</v>
      </c>
      <c r="K258" s="10">
        <v>52072</v>
      </c>
    </row>
    <row r="259" spans="2:11" x14ac:dyDescent="0.25">
      <c r="B259" s="335" t="s">
        <v>657</v>
      </c>
      <c r="D259" s="284"/>
      <c r="E259" s="292" t="s">
        <v>657</v>
      </c>
      <c r="F259" s="292">
        <v>52048</v>
      </c>
      <c r="G259" s="292">
        <v>52078</v>
      </c>
      <c r="H259" s="292">
        <v>52093</v>
      </c>
      <c r="I259" s="292" t="s">
        <v>657</v>
      </c>
      <c r="J259" s="292"/>
      <c r="K259" s="10" t="s">
        <v>657</v>
      </c>
    </row>
    <row r="260" spans="2:11" x14ac:dyDescent="0.25">
      <c r="B260" s="335" t="s">
        <v>657</v>
      </c>
      <c r="D260" s="284"/>
      <c r="E260" s="292" t="s">
        <v>657</v>
      </c>
      <c r="F260" s="292">
        <v>52079</v>
      </c>
      <c r="G260" s="292">
        <v>52109</v>
      </c>
      <c r="H260" s="292">
        <v>52124</v>
      </c>
      <c r="I260" s="292" t="s">
        <v>657</v>
      </c>
      <c r="J260" s="292"/>
      <c r="K260" s="10" t="s">
        <v>657</v>
      </c>
    </row>
    <row r="261" spans="2:11" x14ac:dyDescent="0.25">
      <c r="B261" s="335">
        <v>75</v>
      </c>
      <c r="D261" s="284">
        <v>52048</v>
      </c>
      <c r="E261" s="292">
        <v>52139</v>
      </c>
      <c r="F261" s="292">
        <v>52110</v>
      </c>
      <c r="G261" s="292">
        <v>52139</v>
      </c>
      <c r="H261" s="292">
        <v>52154</v>
      </c>
      <c r="I261" s="292">
        <v>52159</v>
      </c>
      <c r="J261" s="292">
        <v>52162</v>
      </c>
      <c r="K261" s="10">
        <v>52166</v>
      </c>
    </row>
    <row r="262" spans="2:11" x14ac:dyDescent="0.25">
      <c r="B262" s="335" t="s">
        <v>657</v>
      </c>
      <c r="D262" s="284"/>
      <c r="E262" s="292" t="s">
        <v>657</v>
      </c>
      <c r="F262" s="292">
        <v>52140</v>
      </c>
      <c r="G262" s="292">
        <v>52170</v>
      </c>
      <c r="H262" s="292">
        <v>52184</v>
      </c>
      <c r="I262" s="292" t="s">
        <v>657</v>
      </c>
      <c r="J262" s="292"/>
      <c r="K262" s="10" t="s">
        <v>657</v>
      </c>
    </row>
    <row r="263" spans="2:11" x14ac:dyDescent="0.25">
      <c r="B263" s="335" t="s">
        <v>657</v>
      </c>
      <c r="D263" s="284"/>
      <c r="E263" s="292" t="s">
        <v>657</v>
      </c>
      <c r="F263" s="292">
        <v>52171</v>
      </c>
      <c r="G263" s="292">
        <v>52200</v>
      </c>
      <c r="H263" s="292">
        <v>52215</v>
      </c>
      <c r="I263" s="292" t="s">
        <v>657</v>
      </c>
      <c r="J263" s="292"/>
      <c r="K263" s="10" t="s">
        <v>657</v>
      </c>
    </row>
    <row r="264" spans="2:11" x14ac:dyDescent="0.25">
      <c r="B264" s="335">
        <v>76</v>
      </c>
      <c r="D264" s="284">
        <v>52140</v>
      </c>
      <c r="E264" s="292">
        <v>52231</v>
      </c>
      <c r="F264" s="292">
        <v>52201</v>
      </c>
      <c r="G264" s="292">
        <v>52231</v>
      </c>
      <c r="H264" s="292">
        <v>52246</v>
      </c>
      <c r="I264" s="292">
        <v>52251</v>
      </c>
      <c r="J264" s="292">
        <v>52254</v>
      </c>
      <c r="K264" s="10">
        <v>52258</v>
      </c>
    </row>
    <row r="265" spans="2:11" x14ac:dyDescent="0.25">
      <c r="B265" s="335" t="s">
        <v>657</v>
      </c>
      <c r="D265" s="284"/>
      <c r="E265" s="292" t="s">
        <v>657</v>
      </c>
      <c r="F265" s="292">
        <v>52232</v>
      </c>
      <c r="G265" s="292">
        <v>52262</v>
      </c>
      <c r="H265" s="292">
        <v>52275</v>
      </c>
      <c r="I265" s="292" t="s">
        <v>657</v>
      </c>
      <c r="J265" s="292"/>
      <c r="K265" s="10" t="s">
        <v>657</v>
      </c>
    </row>
    <row r="266" spans="2:11" x14ac:dyDescent="0.25">
      <c r="B266" s="335" t="s">
        <v>657</v>
      </c>
      <c r="D266" s="284"/>
      <c r="E266" s="292" t="s">
        <v>657</v>
      </c>
      <c r="F266" s="292">
        <v>52263</v>
      </c>
      <c r="G266" s="292">
        <v>52290</v>
      </c>
      <c r="H266" s="292">
        <v>52303</v>
      </c>
      <c r="I266" s="292" t="s">
        <v>657</v>
      </c>
      <c r="J266" s="292"/>
      <c r="K266" s="10" t="s">
        <v>657</v>
      </c>
    </row>
    <row r="267" spans="2:11" x14ac:dyDescent="0.25">
      <c r="B267" s="335">
        <v>77</v>
      </c>
      <c r="D267" s="284">
        <v>52232</v>
      </c>
      <c r="E267" s="292">
        <v>52321</v>
      </c>
      <c r="F267" s="292">
        <v>52291</v>
      </c>
      <c r="G267" s="292">
        <v>52321</v>
      </c>
      <c r="H267" s="292">
        <v>52336</v>
      </c>
      <c r="I267" s="292">
        <v>52341</v>
      </c>
      <c r="J267" s="292">
        <v>52344</v>
      </c>
      <c r="K267" s="10">
        <v>52348</v>
      </c>
    </row>
    <row r="268" spans="2:11" x14ac:dyDescent="0.25">
      <c r="B268" s="335" t="s">
        <v>657</v>
      </c>
      <c r="D268" s="284"/>
      <c r="E268" s="292" t="s">
        <v>657</v>
      </c>
      <c r="F268" s="292">
        <v>52322</v>
      </c>
      <c r="G268" s="292">
        <v>52351</v>
      </c>
      <c r="H268" s="292">
        <v>52366</v>
      </c>
      <c r="I268" s="292" t="s">
        <v>657</v>
      </c>
      <c r="J268" s="292"/>
      <c r="K268" s="10" t="s">
        <v>657</v>
      </c>
    </row>
    <row r="269" spans="2:11" x14ac:dyDescent="0.25">
      <c r="B269" s="335" t="s">
        <v>657</v>
      </c>
      <c r="D269" s="284"/>
      <c r="E269" s="292" t="s">
        <v>657</v>
      </c>
      <c r="F269" s="292">
        <v>52352</v>
      </c>
      <c r="G269" s="292">
        <v>52382</v>
      </c>
      <c r="H269" s="292">
        <v>52397</v>
      </c>
      <c r="I269" s="292" t="s">
        <v>657</v>
      </c>
      <c r="J269" s="292"/>
      <c r="K269" s="10" t="s">
        <v>657</v>
      </c>
    </row>
    <row r="270" spans="2:11" x14ac:dyDescent="0.25">
      <c r="B270" s="335">
        <v>78</v>
      </c>
      <c r="D270" s="284">
        <v>52322</v>
      </c>
      <c r="E270" s="292">
        <v>52412</v>
      </c>
      <c r="F270" s="292">
        <v>52383</v>
      </c>
      <c r="G270" s="292">
        <v>52412</v>
      </c>
      <c r="H270" s="292">
        <v>52427</v>
      </c>
      <c r="I270" s="292">
        <v>52432</v>
      </c>
      <c r="J270" s="292">
        <v>52435</v>
      </c>
      <c r="K270" s="10">
        <v>52439</v>
      </c>
    </row>
    <row r="271" spans="2:11" x14ac:dyDescent="0.25">
      <c r="B271" s="335" t="s">
        <v>657</v>
      </c>
      <c r="D271" s="284"/>
      <c r="E271" s="292" t="s">
        <v>657</v>
      </c>
      <c r="F271" s="292">
        <v>52413</v>
      </c>
      <c r="G271" s="292">
        <v>52443</v>
      </c>
      <c r="H271" s="292">
        <v>52457</v>
      </c>
      <c r="I271" s="292" t="s">
        <v>657</v>
      </c>
      <c r="J271" s="292"/>
      <c r="K271" s="10" t="s">
        <v>657</v>
      </c>
    </row>
    <row r="272" spans="2:11" x14ac:dyDescent="0.25">
      <c r="B272" s="335" t="s">
        <v>657</v>
      </c>
      <c r="D272" s="284"/>
      <c r="E272" s="292" t="s">
        <v>657</v>
      </c>
      <c r="F272" s="292">
        <v>52444</v>
      </c>
      <c r="G272" s="292">
        <v>52474</v>
      </c>
      <c r="H272" s="292">
        <v>52489</v>
      </c>
      <c r="I272" s="292" t="s">
        <v>657</v>
      </c>
      <c r="J272" s="292"/>
      <c r="K272" s="10" t="s">
        <v>657</v>
      </c>
    </row>
    <row r="273" spans="2:11" x14ac:dyDescent="0.25">
      <c r="B273" s="335">
        <v>79</v>
      </c>
      <c r="D273" s="284">
        <v>52413</v>
      </c>
      <c r="E273" s="292">
        <v>52504</v>
      </c>
      <c r="F273" s="292">
        <v>52475</v>
      </c>
      <c r="G273" s="292">
        <v>52504</v>
      </c>
      <c r="H273" s="292">
        <v>52519</v>
      </c>
      <c r="I273" s="292">
        <v>52524</v>
      </c>
      <c r="J273" s="292">
        <v>52527</v>
      </c>
      <c r="K273" s="10">
        <v>52531</v>
      </c>
    </row>
    <row r="274" spans="2:11" x14ac:dyDescent="0.25">
      <c r="B274" s="335" t="s">
        <v>657</v>
      </c>
      <c r="D274" s="284"/>
      <c r="E274" s="292" t="s">
        <v>657</v>
      </c>
      <c r="F274" s="292">
        <v>52505</v>
      </c>
      <c r="G274" s="292">
        <v>52535</v>
      </c>
      <c r="H274" s="292">
        <v>52548</v>
      </c>
      <c r="I274" s="292" t="s">
        <v>657</v>
      </c>
      <c r="J274" s="292"/>
      <c r="K274" s="10" t="s">
        <v>657</v>
      </c>
    </row>
    <row r="275" spans="2:11" x14ac:dyDescent="0.25">
      <c r="B275" s="335" t="s">
        <v>657</v>
      </c>
      <c r="D275" s="284"/>
      <c r="E275" s="292" t="s">
        <v>657</v>
      </c>
      <c r="F275" s="292">
        <v>52536</v>
      </c>
      <c r="G275" s="292">
        <v>52565</v>
      </c>
      <c r="H275" s="292">
        <v>52580</v>
      </c>
      <c r="I275" s="292" t="s">
        <v>657</v>
      </c>
      <c r="J275" s="292"/>
      <c r="K275" s="10" t="s">
        <v>657</v>
      </c>
    </row>
    <row r="276" spans="2:11" x14ac:dyDescent="0.25">
      <c r="B276" s="335">
        <v>80</v>
      </c>
      <c r="D276" s="284">
        <v>52505</v>
      </c>
      <c r="E276" s="292">
        <v>52596</v>
      </c>
      <c r="F276" s="292">
        <v>52566</v>
      </c>
      <c r="G276" s="292">
        <v>52596</v>
      </c>
      <c r="H276" s="292">
        <v>52611</v>
      </c>
      <c r="I276" s="292">
        <v>52616</v>
      </c>
      <c r="J276" s="292">
        <v>52621</v>
      </c>
      <c r="K276" s="10">
        <v>52623</v>
      </c>
    </row>
    <row r="277" spans="2:11" x14ac:dyDescent="0.25">
      <c r="B277" s="335" t="s">
        <v>657</v>
      </c>
      <c r="D277" s="284"/>
      <c r="E277" s="292" t="s">
        <v>657</v>
      </c>
      <c r="F277" s="292">
        <v>52597</v>
      </c>
      <c r="G277" s="292">
        <v>52627</v>
      </c>
      <c r="H277" s="292">
        <v>52642</v>
      </c>
      <c r="I277" s="292" t="s">
        <v>657</v>
      </c>
      <c r="J277" s="292"/>
      <c r="K277" s="10" t="s">
        <v>657</v>
      </c>
    </row>
    <row r="278" spans="2:11" x14ac:dyDescent="0.25">
      <c r="B278" s="335" t="s">
        <v>657</v>
      </c>
      <c r="D278" s="284"/>
      <c r="E278" s="292" t="s">
        <v>657</v>
      </c>
      <c r="F278" s="292">
        <v>52628</v>
      </c>
      <c r="G278" s="292">
        <v>52656</v>
      </c>
      <c r="H278" s="292">
        <v>52671</v>
      </c>
      <c r="I278" s="292" t="s">
        <v>657</v>
      </c>
      <c r="J278" s="292"/>
      <c r="K278" s="10" t="s">
        <v>657</v>
      </c>
    </row>
    <row r="279" spans="2:11" x14ac:dyDescent="0.25">
      <c r="B279" s="335">
        <v>81</v>
      </c>
      <c r="D279" s="284">
        <v>52597</v>
      </c>
      <c r="E279" s="292">
        <v>52687</v>
      </c>
      <c r="F279" s="292">
        <v>52657</v>
      </c>
      <c r="G279" s="292">
        <v>52687</v>
      </c>
      <c r="H279" s="292">
        <v>52702</v>
      </c>
      <c r="I279" s="292">
        <v>52707</v>
      </c>
      <c r="J279" s="292">
        <v>52712</v>
      </c>
      <c r="K279" s="10">
        <v>52714</v>
      </c>
    </row>
    <row r="280" spans="2:11" x14ac:dyDescent="0.25">
      <c r="B280" s="335" t="s">
        <v>657</v>
      </c>
      <c r="D280" s="284"/>
      <c r="E280" s="292" t="s">
        <v>657</v>
      </c>
      <c r="F280" s="292">
        <v>52688</v>
      </c>
      <c r="G280" s="292">
        <v>52717</v>
      </c>
      <c r="H280" s="292">
        <v>52730</v>
      </c>
      <c r="I280" s="292" t="s">
        <v>657</v>
      </c>
      <c r="J280" s="292"/>
      <c r="K280" s="10" t="s">
        <v>657</v>
      </c>
    </row>
    <row r="281" spans="2:11" x14ac:dyDescent="0.25">
      <c r="B281" s="335" t="s">
        <v>657</v>
      </c>
      <c r="D281" s="284"/>
      <c r="E281" s="292" t="s">
        <v>657</v>
      </c>
      <c r="F281" s="292">
        <v>52718</v>
      </c>
      <c r="G281" s="292">
        <v>52748</v>
      </c>
      <c r="H281" s="292">
        <v>52763</v>
      </c>
      <c r="I281" s="292" t="s">
        <v>657</v>
      </c>
      <c r="J281" s="292"/>
      <c r="K281" s="10" t="s">
        <v>657</v>
      </c>
    </row>
    <row r="282" spans="2:11" x14ac:dyDescent="0.25">
      <c r="B282" s="335">
        <v>82</v>
      </c>
      <c r="D282" s="284">
        <v>52688</v>
      </c>
      <c r="E282" s="292">
        <v>52778</v>
      </c>
      <c r="F282" s="292">
        <v>52749</v>
      </c>
      <c r="G282" s="292">
        <v>52778</v>
      </c>
      <c r="H282" s="292">
        <v>52793</v>
      </c>
      <c r="I282" s="292">
        <v>52798</v>
      </c>
      <c r="J282" s="292">
        <v>52803</v>
      </c>
      <c r="K282" s="10">
        <v>52805</v>
      </c>
    </row>
    <row r="283" spans="2:11" x14ac:dyDescent="0.25">
      <c r="B283" s="335" t="s">
        <v>657</v>
      </c>
      <c r="D283" s="284"/>
      <c r="E283" s="292" t="s">
        <v>657</v>
      </c>
      <c r="F283" s="292">
        <v>52779</v>
      </c>
      <c r="G283" s="292">
        <v>52809</v>
      </c>
      <c r="H283" s="292">
        <v>52824</v>
      </c>
      <c r="I283" s="292" t="s">
        <v>657</v>
      </c>
      <c r="J283" s="292"/>
      <c r="K283" s="10" t="s">
        <v>657</v>
      </c>
    </row>
    <row r="284" spans="2:11" x14ac:dyDescent="0.25">
      <c r="B284" s="335" t="s">
        <v>657</v>
      </c>
      <c r="D284" s="284"/>
      <c r="E284" s="292" t="s">
        <v>657</v>
      </c>
      <c r="F284" s="292">
        <v>52810</v>
      </c>
      <c r="G284" s="292">
        <v>52840</v>
      </c>
      <c r="H284" s="292">
        <v>52855</v>
      </c>
      <c r="I284" s="292" t="s">
        <v>657</v>
      </c>
      <c r="J284" s="292"/>
      <c r="K284" s="10" t="s">
        <v>657</v>
      </c>
    </row>
    <row r="285" spans="2:11" x14ac:dyDescent="0.25">
      <c r="B285" s="335">
        <v>83</v>
      </c>
      <c r="D285" s="284">
        <v>52779</v>
      </c>
      <c r="E285" s="292">
        <v>52870</v>
      </c>
      <c r="F285" s="292">
        <v>52841</v>
      </c>
      <c r="G285" s="292">
        <v>52870</v>
      </c>
      <c r="H285" s="292">
        <v>52884</v>
      </c>
      <c r="I285" s="292">
        <v>52890</v>
      </c>
      <c r="J285" s="292">
        <v>52894</v>
      </c>
      <c r="K285" s="10">
        <v>52896</v>
      </c>
    </row>
    <row r="286" spans="2:11" x14ac:dyDescent="0.25">
      <c r="B286" s="335" t="s">
        <v>657</v>
      </c>
      <c r="D286" s="284"/>
      <c r="E286" s="292" t="s">
        <v>657</v>
      </c>
      <c r="F286" s="292">
        <v>52871</v>
      </c>
      <c r="G286" s="292">
        <v>52901</v>
      </c>
      <c r="H286" s="292">
        <v>52916</v>
      </c>
      <c r="I286" s="292" t="s">
        <v>657</v>
      </c>
      <c r="J286" s="292"/>
      <c r="K286" s="10" t="s">
        <v>657</v>
      </c>
    </row>
    <row r="287" spans="2:11" x14ac:dyDescent="0.25">
      <c r="B287" s="335" t="s">
        <v>657</v>
      </c>
      <c r="D287" s="284"/>
      <c r="E287" s="292" t="s">
        <v>657</v>
      </c>
      <c r="F287" s="292">
        <v>52902</v>
      </c>
      <c r="G287" s="292">
        <v>52931</v>
      </c>
      <c r="H287" s="292">
        <v>52946</v>
      </c>
      <c r="I287" s="292" t="s">
        <v>657</v>
      </c>
      <c r="J287" s="292"/>
      <c r="K287" s="10" t="s">
        <v>657</v>
      </c>
    </row>
    <row r="288" spans="2:11" x14ac:dyDescent="0.25">
      <c r="B288" s="335">
        <v>84</v>
      </c>
      <c r="D288" s="284">
        <v>52871</v>
      </c>
      <c r="E288" s="292">
        <v>52962</v>
      </c>
      <c r="F288" s="292">
        <v>52932</v>
      </c>
      <c r="G288" s="292">
        <v>52962</v>
      </c>
      <c r="H288" s="292">
        <v>52975</v>
      </c>
      <c r="I288" s="292">
        <v>52981</v>
      </c>
      <c r="J288" s="292">
        <v>52985</v>
      </c>
      <c r="K288" s="10">
        <v>52987</v>
      </c>
    </row>
    <row r="289" spans="2:11" x14ac:dyDescent="0.25">
      <c r="B289" s="335" t="s">
        <v>657</v>
      </c>
      <c r="D289" s="284"/>
      <c r="E289" s="292" t="s">
        <v>657</v>
      </c>
      <c r="F289" s="292">
        <v>52963</v>
      </c>
      <c r="G289" s="292">
        <v>52993</v>
      </c>
      <c r="H289" s="292">
        <v>53008</v>
      </c>
      <c r="I289" s="292" t="s">
        <v>657</v>
      </c>
      <c r="J289" s="292"/>
      <c r="K289" s="10" t="s">
        <v>657</v>
      </c>
    </row>
    <row r="290" spans="2:11" x14ac:dyDescent="0.25">
      <c r="B290" s="335" t="s">
        <v>657</v>
      </c>
      <c r="D290" s="284"/>
      <c r="E290" s="292" t="s">
        <v>657</v>
      </c>
      <c r="F290" s="292">
        <v>52994</v>
      </c>
      <c r="G290" s="292">
        <v>53021</v>
      </c>
      <c r="H290" s="292">
        <v>53036</v>
      </c>
      <c r="I290" s="292" t="s">
        <v>657</v>
      </c>
      <c r="J290" s="292"/>
      <c r="K290" s="10" t="s">
        <v>657</v>
      </c>
    </row>
    <row r="291" spans="2:11" x14ac:dyDescent="0.25">
      <c r="B291" s="335">
        <v>85</v>
      </c>
      <c r="D291" s="284">
        <v>52963</v>
      </c>
      <c r="E291" s="292">
        <v>53052</v>
      </c>
      <c r="F291" s="292">
        <v>53022</v>
      </c>
      <c r="G291" s="292">
        <v>53052</v>
      </c>
      <c r="H291" s="292">
        <v>53066</v>
      </c>
      <c r="I291" s="292">
        <v>53072</v>
      </c>
      <c r="J291" s="292">
        <v>53076</v>
      </c>
      <c r="K291" s="10">
        <v>53078</v>
      </c>
    </row>
    <row r="292" spans="2:11" x14ac:dyDescent="0.25">
      <c r="B292" s="335" t="s">
        <v>657</v>
      </c>
      <c r="D292" s="284"/>
      <c r="E292" s="292" t="s">
        <v>657</v>
      </c>
      <c r="F292" s="292">
        <v>53053</v>
      </c>
      <c r="G292" s="292">
        <v>53082</v>
      </c>
      <c r="H292" s="292">
        <v>53097</v>
      </c>
      <c r="I292" s="292" t="s">
        <v>657</v>
      </c>
      <c r="J292" s="292"/>
      <c r="K292" s="10" t="s">
        <v>657</v>
      </c>
    </row>
    <row r="293" spans="2:11" x14ac:dyDescent="0.25">
      <c r="B293" s="335" t="s">
        <v>657</v>
      </c>
      <c r="D293" s="284"/>
      <c r="E293" s="292" t="s">
        <v>657</v>
      </c>
      <c r="F293" s="292">
        <v>53083</v>
      </c>
      <c r="G293" s="292">
        <v>53113</v>
      </c>
      <c r="H293" s="292">
        <v>53128</v>
      </c>
      <c r="I293" s="292" t="s">
        <v>657</v>
      </c>
      <c r="J293" s="292"/>
      <c r="K293" s="10" t="s">
        <v>657</v>
      </c>
    </row>
    <row r="294" spans="2:11" x14ac:dyDescent="0.25">
      <c r="B294" s="335">
        <v>86</v>
      </c>
      <c r="D294" s="284">
        <v>53053</v>
      </c>
      <c r="E294" s="292">
        <v>53143</v>
      </c>
      <c r="F294" s="292">
        <v>53114</v>
      </c>
      <c r="G294" s="292">
        <v>53143</v>
      </c>
      <c r="H294" s="292">
        <v>53157</v>
      </c>
      <c r="I294" s="292">
        <v>53163</v>
      </c>
      <c r="J294" s="292">
        <v>53167</v>
      </c>
      <c r="K294" s="10">
        <v>53169</v>
      </c>
    </row>
    <row r="295" spans="2:11" x14ac:dyDescent="0.25">
      <c r="B295" s="335" t="s">
        <v>657</v>
      </c>
      <c r="D295" s="284"/>
      <c r="E295" s="292" t="s">
        <v>657</v>
      </c>
      <c r="F295" s="292">
        <v>53144</v>
      </c>
      <c r="G295" s="292">
        <v>53174</v>
      </c>
      <c r="H295" s="292">
        <v>53189</v>
      </c>
      <c r="I295" s="292" t="s">
        <v>657</v>
      </c>
      <c r="J295" s="292"/>
      <c r="K295" s="10" t="s">
        <v>657</v>
      </c>
    </row>
    <row r="296" spans="2:11" x14ac:dyDescent="0.25">
      <c r="B296" s="335" t="s">
        <v>657</v>
      </c>
      <c r="D296" s="284"/>
      <c r="E296" s="292" t="s">
        <v>657</v>
      </c>
      <c r="F296" s="292">
        <v>53175</v>
      </c>
      <c r="G296" s="292">
        <v>53205</v>
      </c>
      <c r="H296" s="292">
        <v>53220</v>
      </c>
      <c r="I296" s="292" t="s">
        <v>657</v>
      </c>
      <c r="J296" s="292"/>
      <c r="K296" s="10" t="s">
        <v>657</v>
      </c>
    </row>
    <row r="297" spans="2:11" x14ac:dyDescent="0.25">
      <c r="B297" s="335">
        <v>87</v>
      </c>
      <c r="D297" s="284">
        <v>53144</v>
      </c>
      <c r="E297" s="292">
        <v>53235</v>
      </c>
      <c r="F297" s="292">
        <v>53206</v>
      </c>
      <c r="G297" s="292">
        <v>53235</v>
      </c>
      <c r="H297" s="292">
        <v>53248</v>
      </c>
      <c r="I297" s="292">
        <v>53254</v>
      </c>
      <c r="J297" s="292">
        <v>53258</v>
      </c>
      <c r="K297" s="10">
        <v>53260</v>
      </c>
    </row>
    <row r="298" spans="2:11" x14ac:dyDescent="0.25">
      <c r="B298" s="335" t="s">
        <v>657</v>
      </c>
      <c r="D298" s="284"/>
      <c r="E298" s="292" t="s">
        <v>657</v>
      </c>
      <c r="F298" s="292">
        <v>53236</v>
      </c>
      <c r="G298" s="292">
        <v>53266</v>
      </c>
      <c r="H298" s="292">
        <v>53281</v>
      </c>
      <c r="I298" s="292" t="s">
        <v>657</v>
      </c>
      <c r="J298" s="292"/>
      <c r="K298" s="10" t="s">
        <v>657</v>
      </c>
    </row>
    <row r="299" spans="2:11" x14ac:dyDescent="0.25">
      <c r="B299" s="335" t="s">
        <v>657</v>
      </c>
      <c r="D299" s="284"/>
      <c r="E299" s="292" t="s">
        <v>657</v>
      </c>
      <c r="F299" s="292">
        <v>53267</v>
      </c>
      <c r="G299" s="292">
        <v>53296</v>
      </c>
      <c r="H299" s="292">
        <v>53311</v>
      </c>
      <c r="I299" s="292" t="s">
        <v>657</v>
      </c>
      <c r="J299" s="292"/>
      <c r="K299" s="10" t="s">
        <v>657</v>
      </c>
    </row>
    <row r="300" spans="2:11" x14ac:dyDescent="0.25">
      <c r="B300" s="335">
        <v>88</v>
      </c>
      <c r="D300" s="284">
        <v>53236</v>
      </c>
      <c r="E300" s="292">
        <v>53327</v>
      </c>
      <c r="F300" s="292">
        <v>53297</v>
      </c>
      <c r="G300" s="292">
        <v>53327</v>
      </c>
      <c r="H300" s="292">
        <v>53342</v>
      </c>
      <c r="I300" s="292">
        <v>53345</v>
      </c>
      <c r="J300" s="292">
        <v>53350</v>
      </c>
      <c r="K300" s="10">
        <v>53352</v>
      </c>
    </row>
    <row r="301" spans="2:11" x14ac:dyDescent="0.25">
      <c r="B301" s="335" t="s">
        <v>657</v>
      </c>
      <c r="D301" s="284"/>
      <c r="E301" s="292" t="s">
        <v>657</v>
      </c>
      <c r="F301" s="292">
        <v>53328</v>
      </c>
      <c r="G301" s="292">
        <v>53358</v>
      </c>
      <c r="H301" s="292">
        <v>53373</v>
      </c>
      <c r="I301" s="292" t="s">
        <v>657</v>
      </c>
      <c r="J301" s="292"/>
      <c r="K301" s="10" t="s">
        <v>657</v>
      </c>
    </row>
    <row r="302" spans="2:11" x14ac:dyDescent="0.25">
      <c r="B302" s="335" t="s">
        <v>657</v>
      </c>
      <c r="D302" s="284"/>
      <c r="E302" s="292" t="s">
        <v>657</v>
      </c>
      <c r="F302" s="292">
        <v>53359</v>
      </c>
      <c r="G302" s="292">
        <v>53386</v>
      </c>
      <c r="H302" s="292">
        <v>53401</v>
      </c>
      <c r="I302" s="292" t="s">
        <v>657</v>
      </c>
      <c r="J302" s="292"/>
      <c r="K302" s="10" t="s">
        <v>657</v>
      </c>
    </row>
    <row r="303" spans="2:11" x14ac:dyDescent="0.25">
      <c r="B303" s="335">
        <v>89</v>
      </c>
      <c r="D303" s="284">
        <v>53328</v>
      </c>
      <c r="E303" s="292">
        <v>53417</v>
      </c>
      <c r="F303" s="292">
        <v>53387</v>
      </c>
      <c r="G303" s="292">
        <v>53417</v>
      </c>
      <c r="H303" s="292">
        <v>53430</v>
      </c>
      <c r="I303" s="292">
        <v>53436</v>
      </c>
      <c r="J303" s="292">
        <v>53440</v>
      </c>
      <c r="K303" s="10">
        <v>53442</v>
      </c>
    </row>
    <row r="304" spans="2:11" x14ac:dyDescent="0.25">
      <c r="B304" s="335" t="s">
        <v>657</v>
      </c>
      <c r="D304" s="284"/>
      <c r="E304" s="292" t="s">
        <v>657</v>
      </c>
      <c r="F304" s="292">
        <v>53418</v>
      </c>
      <c r="G304" s="292">
        <v>53447</v>
      </c>
      <c r="H304" s="292">
        <v>53462</v>
      </c>
      <c r="I304" s="292" t="s">
        <v>657</v>
      </c>
      <c r="J304" s="292"/>
      <c r="K304" s="10" t="s">
        <v>657</v>
      </c>
    </row>
    <row r="305" spans="2:11" x14ac:dyDescent="0.25">
      <c r="B305" s="335" t="s">
        <v>657</v>
      </c>
      <c r="D305" s="284"/>
      <c r="E305" s="292" t="s">
        <v>657</v>
      </c>
      <c r="F305" s="292">
        <v>53448</v>
      </c>
      <c r="G305" s="292">
        <v>53478</v>
      </c>
      <c r="H305" s="292">
        <v>53493</v>
      </c>
      <c r="I305" s="292" t="s">
        <v>657</v>
      </c>
      <c r="J305" s="292"/>
      <c r="K305" s="10" t="s">
        <v>657</v>
      </c>
    </row>
    <row r="306" spans="2:11" x14ac:dyDescent="0.25">
      <c r="B306" s="335">
        <v>90</v>
      </c>
      <c r="D306" s="284">
        <v>53418</v>
      </c>
      <c r="E306" s="292">
        <v>53508</v>
      </c>
      <c r="F306" s="292">
        <v>53479</v>
      </c>
      <c r="G306" s="292">
        <v>53508</v>
      </c>
      <c r="H306" s="292">
        <v>53521</v>
      </c>
      <c r="I306" s="292">
        <v>53527</v>
      </c>
      <c r="J306" s="292">
        <v>53531</v>
      </c>
      <c r="K306" s="10">
        <v>53533</v>
      </c>
    </row>
    <row r="307" spans="2:11" x14ac:dyDescent="0.25">
      <c r="B307" s="335" t="s">
        <v>657</v>
      </c>
      <c r="D307" s="284"/>
      <c r="E307" s="292" t="s">
        <v>657</v>
      </c>
      <c r="F307" s="292">
        <v>53509</v>
      </c>
      <c r="G307" s="292">
        <v>53539</v>
      </c>
      <c r="H307" s="292">
        <v>53554</v>
      </c>
      <c r="I307" s="292" t="s">
        <v>657</v>
      </c>
      <c r="J307" s="292"/>
      <c r="K307" s="10" t="s">
        <v>657</v>
      </c>
    </row>
    <row r="308" spans="2:11" x14ac:dyDescent="0.25">
      <c r="B308" s="335" t="s">
        <v>657</v>
      </c>
      <c r="D308" s="284"/>
      <c r="E308" s="292" t="s">
        <v>657</v>
      </c>
      <c r="F308" s="292">
        <v>53540</v>
      </c>
      <c r="G308" s="292">
        <v>53570</v>
      </c>
      <c r="H308" s="292">
        <v>53584</v>
      </c>
      <c r="I308" s="292" t="s">
        <v>657</v>
      </c>
      <c r="J308" s="292"/>
      <c r="K308" s="10" t="s">
        <v>657</v>
      </c>
    </row>
    <row r="309" spans="2:11" x14ac:dyDescent="0.25">
      <c r="B309" s="335">
        <v>91</v>
      </c>
      <c r="D309" s="284">
        <v>53509</v>
      </c>
      <c r="E309" s="292">
        <v>53600</v>
      </c>
      <c r="F309" s="292">
        <v>53571</v>
      </c>
      <c r="G309" s="292">
        <v>53600</v>
      </c>
      <c r="H309" s="292">
        <v>53615</v>
      </c>
      <c r="I309" s="292">
        <v>53618</v>
      </c>
      <c r="J309" s="292">
        <v>53623</v>
      </c>
      <c r="K309" s="10">
        <v>53625</v>
      </c>
    </row>
    <row r="310" spans="2:11" x14ac:dyDescent="0.25">
      <c r="B310" s="335" t="s">
        <v>657</v>
      </c>
      <c r="D310" s="284"/>
      <c r="E310" s="292" t="s">
        <v>657</v>
      </c>
      <c r="F310" s="292">
        <v>53601</v>
      </c>
      <c r="G310" s="292">
        <v>53631</v>
      </c>
      <c r="H310" s="292">
        <v>53646</v>
      </c>
      <c r="I310" s="292" t="s">
        <v>657</v>
      </c>
      <c r="J310" s="292"/>
      <c r="K310" s="10" t="s">
        <v>657</v>
      </c>
    </row>
    <row r="311" spans="2:11" x14ac:dyDescent="0.25">
      <c r="B311" s="335" t="s">
        <v>657</v>
      </c>
      <c r="D311" s="284"/>
      <c r="E311" s="292" t="s">
        <v>657</v>
      </c>
      <c r="F311" s="292">
        <v>53632</v>
      </c>
      <c r="G311" s="292">
        <v>53661</v>
      </c>
      <c r="H311" s="292">
        <v>53675</v>
      </c>
      <c r="I311" s="292" t="s">
        <v>657</v>
      </c>
      <c r="J311" s="292"/>
      <c r="K311" s="10" t="s">
        <v>657</v>
      </c>
    </row>
    <row r="312" spans="2:11" x14ac:dyDescent="0.25">
      <c r="B312" s="335">
        <v>92</v>
      </c>
      <c r="D312" s="284">
        <v>53601</v>
      </c>
      <c r="E312" s="292">
        <v>53692</v>
      </c>
      <c r="F312" s="292">
        <v>53662</v>
      </c>
      <c r="G312" s="292">
        <v>53692</v>
      </c>
      <c r="H312" s="292">
        <v>53707</v>
      </c>
      <c r="I312" s="292">
        <v>53710</v>
      </c>
      <c r="J312" s="292">
        <v>53715</v>
      </c>
      <c r="K312" s="10">
        <v>53717</v>
      </c>
    </row>
    <row r="313" spans="2:11" x14ac:dyDescent="0.25">
      <c r="B313" s="335" t="s">
        <v>657</v>
      </c>
      <c r="D313" s="284"/>
      <c r="E313" s="292" t="s">
        <v>657</v>
      </c>
      <c r="F313" s="292">
        <v>53693</v>
      </c>
      <c r="G313" s="292">
        <v>53723</v>
      </c>
      <c r="H313" s="292">
        <v>53738</v>
      </c>
      <c r="I313" s="292" t="s">
        <v>657</v>
      </c>
      <c r="J313" s="292"/>
      <c r="K313" s="10" t="s">
        <v>657</v>
      </c>
    </row>
    <row r="314" spans="2:11" x14ac:dyDescent="0.25">
      <c r="B314" s="335" t="s">
        <v>657</v>
      </c>
      <c r="D314" s="284"/>
      <c r="E314" s="292" t="s">
        <v>657</v>
      </c>
      <c r="F314" s="292">
        <v>53724</v>
      </c>
      <c r="G314" s="292">
        <v>53751</v>
      </c>
      <c r="H314" s="292">
        <v>53766</v>
      </c>
      <c r="I314" s="292" t="s">
        <v>657</v>
      </c>
      <c r="J314" s="292"/>
      <c r="K314" s="10" t="s">
        <v>657</v>
      </c>
    </row>
    <row r="315" spans="2:11" x14ac:dyDescent="0.25">
      <c r="B315" s="335">
        <v>93</v>
      </c>
      <c r="D315" s="284">
        <v>53693</v>
      </c>
      <c r="E315" s="292">
        <v>53782</v>
      </c>
      <c r="F315" s="292">
        <v>53752</v>
      </c>
      <c r="G315" s="292">
        <v>53782</v>
      </c>
      <c r="H315" s="292">
        <v>53797</v>
      </c>
      <c r="I315" s="292">
        <v>53800</v>
      </c>
      <c r="J315" s="292">
        <v>53805</v>
      </c>
      <c r="K315" s="10">
        <v>53807</v>
      </c>
    </row>
    <row r="316" spans="2:11" x14ac:dyDescent="0.25">
      <c r="B316" s="335" t="s">
        <v>657</v>
      </c>
      <c r="D316" s="284"/>
      <c r="E316" s="292" t="s">
        <v>657</v>
      </c>
      <c r="F316" s="292">
        <v>53783</v>
      </c>
      <c r="G316" s="292">
        <v>53812</v>
      </c>
      <c r="H316" s="292">
        <v>53827</v>
      </c>
      <c r="I316" s="292" t="s">
        <v>657</v>
      </c>
      <c r="J316" s="292"/>
      <c r="K316" s="10" t="s">
        <v>657</v>
      </c>
    </row>
    <row r="317" spans="2:11" x14ac:dyDescent="0.25">
      <c r="B317" s="335" t="s">
        <v>657</v>
      </c>
      <c r="D317" s="284"/>
      <c r="E317" s="292" t="s">
        <v>657</v>
      </c>
      <c r="F317" s="292">
        <v>53813</v>
      </c>
      <c r="G317" s="292">
        <v>53843</v>
      </c>
      <c r="H317" s="292">
        <v>53857</v>
      </c>
      <c r="I317" s="292" t="s">
        <v>657</v>
      </c>
      <c r="J317" s="292"/>
      <c r="K317" s="10" t="s">
        <v>657</v>
      </c>
    </row>
    <row r="318" spans="2:11" x14ac:dyDescent="0.25">
      <c r="B318" s="335">
        <v>94</v>
      </c>
      <c r="D318" s="284">
        <v>53783</v>
      </c>
      <c r="E318" s="292">
        <v>53873</v>
      </c>
      <c r="F318" s="292">
        <v>53844</v>
      </c>
      <c r="G318" s="292">
        <v>53873</v>
      </c>
      <c r="H318" s="292">
        <v>53888</v>
      </c>
      <c r="I318" s="292">
        <v>53891</v>
      </c>
      <c r="J318" s="292">
        <v>53896</v>
      </c>
      <c r="K318" s="10">
        <v>53898</v>
      </c>
    </row>
    <row r="319" spans="2:11" x14ac:dyDescent="0.25">
      <c r="B319" s="335" t="s">
        <v>657</v>
      </c>
      <c r="D319" s="284"/>
      <c r="E319" s="292" t="s">
        <v>657</v>
      </c>
      <c r="F319" s="292">
        <v>53874</v>
      </c>
      <c r="G319" s="292">
        <v>53904</v>
      </c>
      <c r="H319" s="292">
        <v>53919</v>
      </c>
      <c r="I319" s="292" t="s">
        <v>657</v>
      </c>
      <c r="J319" s="292"/>
      <c r="K319" s="10" t="s">
        <v>657</v>
      </c>
    </row>
    <row r="320" spans="2:11" x14ac:dyDescent="0.25">
      <c r="B320" s="335" t="s">
        <v>657</v>
      </c>
      <c r="D320" s="284"/>
      <c r="E320" s="292" t="s">
        <v>657</v>
      </c>
      <c r="F320" s="292">
        <v>53905</v>
      </c>
      <c r="G320" s="292">
        <v>53935</v>
      </c>
      <c r="H320" s="292">
        <v>53948</v>
      </c>
      <c r="I320" s="292" t="s">
        <v>657</v>
      </c>
      <c r="J320" s="292"/>
      <c r="K320" s="10" t="s">
        <v>657</v>
      </c>
    </row>
    <row r="321" spans="2:11" x14ac:dyDescent="0.25">
      <c r="B321" s="335">
        <v>95</v>
      </c>
      <c r="D321" s="284">
        <v>53874</v>
      </c>
      <c r="E321" s="292">
        <v>53965</v>
      </c>
      <c r="F321" s="292">
        <v>53936</v>
      </c>
      <c r="G321" s="292">
        <v>53965</v>
      </c>
      <c r="H321" s="292">
        <v>53980</v>
      </c>
      <c r="I321" s="292">
        <v>53983</v>
      </c>
      <c r="J321" s="292">
        <v>53988</v>
      </c>
      <c r="K321" s="10">
        <v>53990</v>
      </c>
    </row>
    <row r="322" spans="2:11" x14ac:dyDescent="0.25">
      <c r="B322" s="335" t="s">
        <v>657</v>
      </c>
      <c r="D322" s="284"/>
      <c r="E322" s="292" t="s">
        <v>657</v>
      </c>
      <c r="F322" s="292">
        <v>53966</v>
      </c>
      <c r="G322" s="292">
        <v>53996</v>
      </c>
      <c r="H322" s="292">
        <v>54011</v>
      </c>
      <c r="I322" s="292" t="s">
        <v>657</v>
      </c>
      <c r="J322" s="292"/>
      <c r="K322" s="10" t="s">
        <v>657</v>
      </c>
    </row>
    <row r="323" spans="2:11" x14ac:dyDescent="0.25">
      <c r="B323" s="335" t="s">
        <v>657</v>
      </c>
      <c r="D323" s="284"/>
      <c r="E323" s="292" t="s">
        <v>657</v>
      </c>
      <c r="F323" s="292">
        <v>53997</v>
      </c>
      <c r="G323" s="292">
        <v>54026</v>
      </c>
      <c r="H323" s="292">
        <v>54039</v>
      </c>
      <c r="I323" s="292" t="s">
        <v>657</v>
      </c>
      <c r="J323" s="292"/>
      <c r="K323" s="10" t="s">
        <v>657</v>
      </c>
    </row>
    <row r="324" spans="2:11" x14ac:dyDescent="0.25">
      <c r="B324" s="335">
        <v>96</v>
      </c>
      <c r="D324" s="284">
        <v>53966</v>
      </c>
      <c r="E324" s="292">
        <v>54057</v>
      </c>
      <c r="F324" s="292">
        <v>54027</v>
      </c>
      <c r="G324" s="292">
        <v>54057</v>
      </c>
      <c r="H324" s="292">
        <v>54072</v>
      </c>
      <c r="I324" s="292">
        <v>54077</v>
      </c>
      <c r="J324" s="292">
        <v>54080</v>
      </c>
      <c r="K324" s="10">
        <v>54084</v>
      </c>
    </row>
    <row r="325" spans="2:11" x14ac:dyDescent="0.25">
      <c r="B325" s="335" t="s">
        <v>657</v>
      </c>
      <c r="D325" s="284"/>
      <c r="E325" s="292" t="s">
        <v>657</v>
      </c>
      <c r="F325" s="292">
        <v>54058</v>
      </c>
      <c r="G325" s="292">
        <v>54088</v>
      </c>
      <c r="H325" s="292">
        <v>54102</v>
      </c>
      <c r="I325" s="292" t="s">
        <v>657</v>
      </c>
      <c r="J325" s="292"/>
      <c r="K325" s="10" t="s">
        <v>657</v>
      </c>
    </row>
    <row r="326" spans="2:11" x14ac:dyDescent="0.25">
      <c r="B326" s="335" t="s">
        <v>657</v>
      </c>
      <c r="D326" s="284"/>
      <c r="E326" s="292" t="s">
        <v>657</v>
      </c>
      <c r="F326" s="292">
        <v>54089</v>
      </c>
      <c r="G326" s="292">
        <v>54117</v>
      </c>
      <c r="H326" s="292">
        <v>54130</v>
      </c>
      <c r="I326" s="292" t="s">
        <v>657</v>
      </c>
      <c r="J326" s="292"/>
      <c r="K326" s="10" t="s">
        <v>657</v>
      </c>
    </row>
    <row r="327" spans="2:11" x14ac:dyDescent="0.25">
      <c r="B327" s="335">
        <v>97</v>
      </c>
      <c r="D327" s="284">
        <v>54058</v>
      </c>
      <c r="E327" s="292">
        <v>54148</v>
      </c>
      <c r="F327" s="292">
        <v>54118</v>
      </c>
      <c r="G327" s="292">
        <v>54148</v>
      </c>
      <c r="H327" s="292">
        <v>54163</v>
      </c>
      <c r="I327" s="292">
        <v>54168</v>
      </c>
      <c r="J327" s="292">
        <v>54171</v>
      </c>
      <c r="K327" s="10">
        <v>54175</v>
      </c>
    </row>
    <row r="328" spans="2:11" x14ac:dyDescent="0.25">
      <c r="B328" s="335" t="s">
        <v>657</v>
      </c>
      <c r="D328" s="284"/>
      <c r="E328" s="292" t="s">
        <v>657</v>
      </c>
      <c r="F328" s="292">
        <v>54149</v>
      </c>
      <c r="G328" s="292">
        <v>54178</v>
      </c>
      <c r="H328" s="292">
        <v>54193</v>
      </c>
      <c r="I328" s="292" t="s">
        <v>657</v>
      </c>
      <c r="J328" s="292"/>
      <c r="K328" s="10" t="s">
        <v>657</v>
      </c>
    </row>
    <row r="329" spans="2:11" x14ac:dyDescent="0.25">
      <c r="B329" s="335" t="s">
        <v>657</v>
      </c>
      <c r="D329" s="284"/>
      <c r="E329" s="292" t="s">
        <v>657</v>
      </c>
      <c r="F329" s="292">
        <v>54179</v>
      </c>
      <c r="G329" s="292">
        <v>54209</v>
      </c>
      <c r="H329" s="292">
        <v>54224</v>
      </c>
      <c r="I329" s="292" t="s">
        <v>657</v>
      </c>
      <c r="J329" s="292"/>
      <c r="K329" s="10" t="s">
        <v>657</v>
      </c>
    </row>
    <row r="330" spans="2:11" x14ac:dyDescent="0.25">
      <c r="B330" s="335">
        <v>98</v>
      </c>
      <c r="D330" s="284">
        <v>54149</v>
      </c>
      <c r="E330" s="292">
        <v>54239</v>
      </c>
      <c r="F330" s="292">
        <v>54210</v>
      </c>
      <c r="G330" s="292">
        <v>54239</v>
      </c>
      <c r="H330" s="292">
        <v>54254</v>
      </c>
      <c r="I330" s="292">
        <v>54259</v>
      </c>
      <c r="J330" s="292">
        <v>54262</v>
      </c>
      <c r="K330" s="10">
        <v>54266</v>
      </c>
    </row>
    <row r="331" spans="2:11" x14ac:dyDescent="0.25">
      <c r="B331" s="335" t="s">
        <v>657</v>
      </c>
      <c r="D331" s="284"/>
      <c r="E331" s="292" t="s">
        <v>657</v>
      </c>
      <c r="F331" s="292">
        <v>54240</v>
      </c>
      <c r="G331" s="292">
        <v>54270</v>
      </c>
      <c r="H331" s="292">
        <v>54284</v>
      </c>
      <c r="I331" s="292" t="s">
        <v>657</v>
      </c>
      <c r="J331" s="292"/>
      <c r="K331" s="10" t="s">
        <v>657</v>
      </c>
    </row>
    <row r="332" spans="2:11" x14ac:dyDescent="0.25">
      <c r="B332" s="335" t="s">
        <v>657</v>
      </c>
      <c r="D332" s="284"/>
      <c r="E332" s="292" t="s">
        <v>657</v>
      </c>
      <c r="F332" s="292">
        <v>54271</v>
      </c>
      <c r="G332" s="292">
        <v>54301</v>
      </c>
      <c r="H332" s="292">
        <v>54316</v>
      </c>
      <c r="I332" s="292" t="s">
        <v>657</v>
      </c>
      <c r="J332" s="292"/>
      <c r="K332" s="10" t="s">
        <v>657</v>
      </c>
    </row>
    <row r="333" spans="2:11" x14ac:dyDescent="0.25">
      <c r="B333" s="335">
        <v>99</v>
      </c>
      <c r="D333" s="284">
        <v>54240</v>
      </c>
      <c r="E333" s="292">
        <v>54331</v>
      </c>
      <c r="F333" s="292">
        <v>54302</v>
      </c>
      <c r="G333" s="292">
        <v>54331</v>
      </c>
      <c r="H333" s="292">
        <v>54346</v>
      </c>
      <c r="I333" s="292">
        <v>54351</v>
      </c>
      <c r="J333" s="292">
        <v>54354</v>
      </c>
      <c r="K333" s="10">
        <v>54358</v>
      </c>
    </row>
    <row r="334" spans="2:11" x14ac:dyDescent="0.25">
      <c r="B334" s="335" t="s">
        <v>657</v>
      </c>
      <c r="D334" s="284"/>
      <c r="E334" s="292" t="s">
        <v>657</v>
      </c>
      <c r="F334" s="292">
        <v>54332</v>
      </c>
      <c r="G334" s="292">
        <v>54362</v>
      </c>
      <c r="H334" s="292">
        <v>54375</v>
      </c>
      <c r="I334" s="292" t="s">
        <v>657</v>
      </c>
      <c r="J334" s="292"/>
      <c r="K334" s="10" t="s">
        <v>657</v>
      </c>
    </row>
    <row r="335" spans="2:11" x14ac:dyDescent="0.25">
      <c r="B335" s="335" t="s">
        <v>657</v>
      </c>
      <c r="D335" s="284"/>
      <c r="E335" s="292" t="s">
        <v>657</v>
      </c>
      <c r="F335" s="292">
        <v>54363</v>
      </c>
      <c r="G335" s="292">
        <v>54392</v>
      </c>
      <c r="H335" s="292">
        <v>54407</v>
      </c>
      <c r="I335" s="292" t="s">
        <v>657</v>
      </c>
      <c r="J335" s="292"/>
      <c r="K335" s="10" t="s">
        <v>657</v>
      </c>
    </row>
    <row r="336" spans="2:11" x14ac:dyDescent="0.25">
      <c r="B336" s="335">
        <v>100</v>
      </c>
      <c r="D336" s="284">
        <v>54332</v>
      </c>
      <c r="E336" s="292">
        <v>54423</v>
      </c>
      <c r="F336" s="292">
        <v>54393</v>
      </c>
      <c r="G336" s="292">
        <v>54423</v>
      </c>
      <c r="H336" s="292">
        <v>54438</v>
      </c>
      <c r="I336" s="292">
        <v>54443</v>
      </c>
      <c r="J336" s="292">
        <v>54448</v>
      </c>
      <c r="K336" s="10">
        <v>54450</v>
      </c>
    </row>
    <row r="337" spans="2:11" x14ac:dyDescent="0.25">
      <c r="B337" s="335" t="s">
        <v>657</v>
      </c>
      <c r="D337" s="284"/>
      <c r="E337" s="292" t="s">
        <v>657</v>
      </c>
      <c r="F337" s="292">
        <v>54424</v>
      </c>
      <c r="G337" s="292">
        <v>54454</v>
      </c>
      <c r="H337" s="292">
        <v>54469</v>
      </c>
      <c r="I337" s="292" t="s">
        <v>657</v>
      </c>
      <c r="J337" s="292"/>
      <c r="K337" s="10" t="s">
        <v>657</v>
      </c>
    </row>
    <row r="338" spans="2:11" x14ac:dyDescent="0.25">
      <c r="B338" s="335" t="s">
        <v>657</v>
      </c>
      <c r="D338" s="284"/>
      <c r="E338" s="292" t="s">
        <v>657</v>
      </c>
      <c r="F338" s="292">
        <v>54455</v>
      </c>
      <c r="G338" s="292">
        <v>54482</v>
      </c>
      <c r="H338" s="292">
        <v>54497</v>
      </c>
      <c r="I338" s="292" t="s">
        <v>657</v>
      </c>
      <c r="J338" s="292"/>
      <c r="K338" s="10" t="s">
        <v>657</v>
      </c>
    </row>
    <row r="339" spans="2:11" x14ac:dyDescent="0.25">
      <c r="B339" s="335">
        <v>101</v>
      </c>
      <c r="D339" s="284">
        <v>54424</v>
      </c>
      <c r="E339" s="292">
        <v>54513</v>
      </c>
      <c r="F339" s="292">
        <v>54483</v>
      </c>
      <c r="G339" s="292">
        <v>54513</v>
      </c>
      <c r="H339" s="292">
        <v>54528</v>
      </c>
      <c r="I339" s="292">
        <v>54533</v>
      </c>
      <c r="J339" s="292">
        <v>54536</v>
      </c>
      <c r="K339" s="10">
        <v>54540</v>
      </c>
    </row>
    <row r="340" spans="2:11" x14ac:dyDescent="0.25">
      <c r="B340" s="335" t="s">
        <v>657</v>
      </c>
      <c r="D340" s="284"/>
      <c r="E340" s="292" t="s">
        <v>657</v>
      </c>
      <c r="F340" s="292">
        <v>54514</v>
      </c>
      <c r="G340" s="292">
        <v>54543</v>
      </c>
      <c r="H340" s="292">
        <v>54557</v>
      </c>
      <c r="I340" s="292" t="s">
        <v>657</v>
      </c>
      <c r="J340" s="292"/>
      <c r="K340" s="10" t="s">
        <v>657</v>
      </c>
    </row>
    <row r="341" spans="2:11" x14ac:dyDescent="0.25">
      <c r="B341" s="335" t="s">
        <v>657</v>
      </c>
      <c r="D341" s="284"/>
      <c r="E341" s="292" t="s">
        <v>657</v>
      </c>
      <c r="F341" s="292">
        <v>54544</v>
      </c>
      <c r="G341" s="292">
        <v>54574</v>
      </c>
      <c r="H341" s="292">
        <v>54589</v>
      </c>
      <c r="I341" s="292" t="s">
        <v>657</v>
      </c>
      <c r="J341" s="292"/>
      <c r="K341" s="10" t="s">
        <v>657</v>
      </c>
    </row>
    <row r="342" spans="2:11" x14ac:dyDescent="0.25">
      <c r="B342" s="335">
        <v>102</v>
      </c>
      <c r="D342" s="284">
        <v>54514</v>
      </c>
      <c r="E342" s="292">
        <v>54604</v>
      </c>
      <c r="F342" s="292">
        <v>54575</v>
      </c>
      <c r="G342" s="292">
        <v>54604</v>
      </c>
      <c r="H342" s="292">
        <v>54619</v>
      </c>
      <c r="I342" s="292">
        <v>54624</v>
      </c>
      <c r="J342" s="292">
        <v>54627</v>
      </c>
      <c r="K342" s="10">
        <v>54631</v>
      </c>
    </row>
    <row r="343" spans="2:11" x14ac:dyDescent="0.25">
      <c r="B343" s="335" t="s">
        <v>657</v>
      </c>
      <c r="D343" s="284"/>
      <c r="E343" s="292" t="s">
        <v>657</v>
      </c>
      <c r="F343" s="292">
        <v>54605</v>
      </c>
      <c r="G343" s="292">
        <v>54635</v>
      </c>
      <c r="H343" s="292">
        <v>54648</v>
      </c>
      <c r="I343" s="292" t="s">
        <v>657</v>
      </c>
      <c r="J343" s="292"/>
      <c r="K343" s="10" t="s">
        <v>657</v>
      </c>
    </row>
    <row r="344" spans="2:11" x14ac:dyDescent="0.25">
      <c r="B344" s="335" t="s">
        <v>657</v>
      </c>
      <c r="D344" s="284"/>
      <c r="E344" s="292" t="s">
        <v>657</v>
      </c>
      <c r="F344" s="292">
        <v>54636</v>
      </c>
      <c r="G344" s="292">
        <v>54666</v>
      </c>
      <c r="H344" s="292">
        <v>54681</v>
      </c>
      <c r="I344" s="292" t="s">
        <v>657</v>
      </c>
      <c r="J344" s="292"/>
      <c r="K344" s="10" t="s">
        <v>657</v>
      </c>
    </row>
    <row r="345" spans="2:11" x14ac:dyDescent="0.25">
      <c r="B345" s="335">
        <v>103</v>
      </c>
      <c r="D345" s="284">
        <v>54605</v>
      </c>
      <c r="E345" s="292">
        <v>54696</v>
      </c>
      <c r="F345" s="292">
        <v>54667</v>
      </c>
      <c r="G345" s="292">
        <v>54696</v>
      </c>
      <c r="H345" s="292">
        <v>54711</v>
      </c>
      <c r="I345" s="292">
        <v>54716</v>
      </c>
      <c r="J345" s="292">
        <v>54721</v>
      </c>
      <c r="K345" s="10">
        <v>54723</v>
      </c>
    </row>
    <row r="346" spans="2:11" x14ac:dyDescent="0.25">
      <c r="B346" s="335" t="s">
        <v>657</v>
      </c>
      <c r="D346" s="284"/>
      <c r="E346" s="292" t="s">
        <v>657</v>
      </c>
      <c r="F346" s="292">
        <v>54697</v>
      </c>
      <c r="G346" s="292">
        <v>54727</v>
      </c>
      <c r="H346" s="292">
        <v>54742</v>
      </c>
      <c r="I346" s="292" t="s">
        <v>657</v>
      </c>
      <c r="J346" s="292"/>
      <c r="K346" s="10" t="s">
        <v>657</v>
      </c>
    </row>
    <row r="347" spans="2:11" x14ac:dyDescent="0.25">
      <c r="B347" s="335" t="s">
        <v>657</v>
      </c>
      <c r="D347" s="284"/>
      <c r="E347" s="292" t="s">
        <v>657</v>
      </c>
      <c r="F347" s="292">
        <v>54728</v>
      </c>
      <c r="G347" s="292">
        <v>54757</v>
      </c>
      <c r="H347" s="292">
        <v>54772</v>
      </c>
      <c r="I347" s="292" t="s">
        <v>657</v>
      </c>
      <c r="J347" s="292"/>
      <c r="K347" s="10" t="s">
        <v>657</v>
      </c>
    </row>
    <row r="348" spans="2:11" x14ac:dyDescent="0.25">
      <c r="B348" s="335">
        <v>104</v>
      </c>
      <c r="D348" s="284">
        <v>54697</v>
      </c>
      <c r="E348" s="292">
        <v>54788</v>
      </c>
      <c r="F348" s="292">
        <v>54758</v>
      </c>
      <c r="G348" s="292">
        <v>54788</v>
      </c>
      <c r="H348" s="292">
        <v>54802</v>
      </c>
      <c r="I348" s="292">
        <v>54808</v>
      </c>
      <c r="J348" s="292">
        <v>54812</v>
      </c>
      <c r="K348" s="10">
        <v>54814</v>
      </c>
    </row>
    <row r="349" spans="2:11" x14ac:dyDescent="0.25">
      <c r="B349" s="335" t="s">
        <v>657</v>
      </c>
      <c r="D349" s="284"/>
      <c r="E349" s="292" t="s">
        <v>657</v>
      </c>
      <c r="F349" s="292">
        <v>54789</v>
      </c>
      <c r="G349" s="292">
        <v>54819</v>
      </c>
      <c r="H349" s="292">
        <v>54834</v>
      </c>
      <c r="I349" s="292" t="s">
        <v>657</v>
      </c>
      <c r="J349" s="292"/>
      <c r="K349" s="10" t="s">
        <v>657</v>
      </c>
    </row>
    <row r="350" spans="2:11" x14ac:dyDescent="0.25">
      <c r="B350" s="335" t="s">
        <v>657</v>
      </c>
      <c r="D350" s="284"/>
      <c r="E350" s="292" t="s">
        <v>657</v>
      </c>
      <c r="F350" s="292">
        <v>54820</v>
      </c>
      <c r="G350" s="292">
        <v>54847</v>
      </c>
      <c r="H350" s="292">
        <v>54862</v>
      </c>
      <c r="I350" s="292" t="s">
        <v>657</v>
      </c>
      <c r="J350" s="292"/>
      <c r="K350" s="10" t="s">
        <v>657</v>
      </c>
    </row>
    <row r="351" spans="2:11" x14ac:dyDescent="0.25">
      <c r="B351" s="335">
        <v>105</v>
      </c>
      <c r="D351" s="284">
        <v>54789</v>
      </c>
      <c r="E351" s="292">
        <v>54878</v>
      </c>
      <c r="F351" s="292">
        <v>54848</v>
      </c>
      <c r="G351" s="292">
        <v>54878</v>
      </c>
      <c r="H351" s="292">
        <v>54893</v>
      </c>
      <c r="I351" s="292">
        <v>54898</v>
      </c>
      <c r="J351" s="292">
        <v>54903</v>
      </c>
      <c r="K351" s="10">
        <v>54905</v>
      </c>
    </row>
    <row r="352" spans="2:11" x14ac:dyDescent="0.25">
      <c r="B352" s="335" t="s">
        <v>657</v>
      </c>
      <c r="D352" s="284"/>
      <c r="E352" s="292" t="s">
        <v>657</v>
      </c>
      <c r="F352" s="292">
        <v>54879</v>
      </c>
      <c r="G352" s="292">
        <v>54908</v>
      </c>
      <c r="H352" s="292">
        <v>54921</v>
      </c>
      <c r="I352" s="292" t="s">
        <v>657</v>
      </c>
      <c r="J352" s="292"/>
      <c r="K352" s="10" t="s">
        <v>657</v>
      </c>
    </row>
    <row r="353" spans="2:11" x14ac:dyDescent="0.25">
      <c r="B353" s="335" t="s">
        <v>657</v>
      </c>
      <c r="D353" s="284"/>
      <c r="E353" s="292" t="s">
        <v>657</v>
      </c>
      <c r="F353" s="292">
        <v>54909</v>
      </c>
      <c r="G353" s="292">
        <v>54939</v>
      </c>
      <c r="H353" s="292">
        <v>54954</v>
      </c>
      <c r="I353" s="292" t="s">
        <v>657</v>
      </c>
      <c r="J353" s="292"/>
      <c r="K353" s="10" t="s">
        <v>657</v>
      </c>
    </row>
    <row r="354" spans="2:11" x14ac:dyDescent="0.25">
      <c r="B354" s="335">
        <v>106</v>
      </c>
      <c r="D354" s="284">
        <v>54879</v>
      </c>
      <c r="E354" s="292">
        <v>54969</v>
      </c>
      <c r="F354" s="292">
        <v>54940</v>
      </c>
      <c r="G354" s="292">
        <v>54969</v>
      </c>
      <c r="H354" s="292">
        <v>54984</v>
      </c>
      <c r="I354" s="292">
        <v>54989</v>
      </c>
      <c r="J354" s="292">
        <v>54994</v>
      </c>
      <c r="K354" s="10">
        <v>54996</v>
      </c>
    </row>
    <row r="355" spans="2:11" x14ac:dyDescent="0.25">
      <c r="B355" s="335" t="s">
        <v>657</v>
      </c>
      <c r="D355" s="284"/>
      <c r="E355" s="292" t="s">
        <v>657</v>
      </c>
      <c r="F355" s="292">
        <v>54970</v>
      </c>
      <c r="G355" s="292">
        <v>55000</v>
      </c>
      <c r="H355" s="292">
        <v>55015</v>
      </c>
      <c r="I355" s="292" t="s">
        <v>657</v>
      </c>
      <c r="J355" s="292"/>
      <c r="K355" s="10" t="s">
        <v>657</v>
      </c>
    </row>
    <row r="356" spans="2:11" x14ac:dyDescent="0.25">
      <c r="B356" s="335" t="s">
        <v>657</v>
      </c>
      <c r="D356" s="284"/>
      <c r="E356" s="292" t="s">
        <v>657</v>
      </c>
      <c r="F356" s="292">
        <v>55001</v>
      </c>
      <c r="G356" s="292">
        <v>55031</v>
      </c>
      <c r="H356" s="292">
        <v>55046</v>
      </c>
      <c r="I356" s="292" t="s">
        <v>657</v>
      </c>
      <c r="J356" s="292"/>
      <c r="K356" s="10" t="s">
        <v>657</v>
      </c>
    </row>
    <row r="357" spans="2:11" x14ac:dyDescent="0.25">
      <c r="B357" s="335">
        <v>107</v>
      </c>
      <c r="D357" s="284">
        <v>54970</v>
      </c>
      <c r="E357" s="292">
        <v>55061</v>
      </c>
      <c r="F357" s="292">
        <v>55032</v>
      </c>
      <c r="G357" s="292">
        <v>55061</v>
      </c>
      <c r="H357" s="292">
        <v>55075</v>
      </c>
      <c r="I357" s="292">
        <v>55081</v>
      </c>
      <c r="J357" s="292">
        <v>55085</v>
      </c>
      <c r="K357" s="10">
        <v>55087</v>
      </c>
    </row>
    <row r="358" spans="2:11" x14ac:dyDescent="0.25">
      <c r="B358" s="335" t="s">
        <v>657</v>
      </c>
      <c r="D358" s="284"/>
      <c r="E358" s="292" t="s">
        <v>657</v>
      </c>
      <c r="F358" s="292">
        <v>55062</v>
      </c>
      <c r="G358" s="292">
        <v>55092</v>
      </c>
      <c r="H358" s="292">
        <v>55107</v>
      </c>
      <c r="I358" s="292" t="s">
        <v>657</v>
      </c>
      <c r="J358" s="292"/>
      <c r="K358" s="10" t="s">
        <v>657</v>
      </c>
    </row>
    <row r="359" spans="2:11" x14ac:dyDescent="0.25">
      <c r="B359" s="335" t="s">
        <v>657</v>
      </c>
      <c r="D359" s="284"/>
      <c r="E359" s="292" t="s">
        <v>657</v>
      </c>
      <c r="F359" s="292">
        <v>55093</v>
      </c>
      <c r="G359" s="292">
        <v>55122</v>
      </c>
      <c r="H359" s="292">
        <v>55137</v>
      </c>
      <c r="I359" s="292" t="s">
        <v>657</v>
      </c>
      <c r="J359" s="292"/>
      <c r="K359" s="10" t="s">
        <v>657</v>
      </c>
    </row>
    <row r="360" spans="2:11" x14ac:dyDescent="0.25">
      <c r="B360" s="335">
        <v>108</v>
      </c>
      <c r="D360" s="284">
        <v>55062</v>
      </c>
      <c r="E360" s="292">
        <v>55153</v>
      </c>
      <c r="F360" s="292">
        <v>55123</v>
      </c>
      <c r="G360" s="292">
        <v>55153</v>
      </c>
      <c r="H360" s="292">
        <v>55166</v>
      </c>
      <c r="I360" s="292">
        <v>55172</v>
      </c>
      <c r="J360" s="292">
        <v>55176</v>
      </c>
      <c r="K360" s="10">
        <v>55178</v>
      </c>
    </row>
    <row r="361" spans="2:11" x14ac:dyDescent="0.25">
      <c r="B361" s="335" t="s">
        <v>657</v>
      </c>
      <c r="D361" s="284"/>
      <c r="E361" s="292" t="s">
        <v>657</v>
      </c>
      <c r="F361" s="292">
        <v>55154</v>
      </c>
      <c r="G361" s="292">
        <v>55184</v>
      </c>
      <c r="H361" s="292">
        <v>55199</v>
      </c>
      <c r="I361" s="292" t="s">
        <v>657</v>
      </c>
      <c r="J361" s="292"/>
      <c r="K361" s="10" t="s">
        <v>657</v>
      </c>
    </row>
    <row r="362" spans="2:11" x14ac:dyDescent="0.25">
      <c r="B362" s="335" t="s">
        <v>657</v>
      </c>
      <c r="D362" s="284"/>
      <c r="E362" s="292" t="s">
        <v>657</v>
      </c>
      <c r="F362" s="292">
        <v>55185</v>
      </c>
      <c r="G362" s="292">
        <v>55212</v>
      </c>
      <c r="H362" s="292">
        <v>55227</v>
      </c>
      <c r="I362" s="292" t="s">
        <v>657</v>
      </c>
      <c r="J362" s="292"/>
      <c r="K362" s="10" t="s">
        <v>657</v>
      </c>
    </row>
    <row r="363" spans="2:11" x14ac:dyDescent="0.25">
      <c r="B363" s="335">
        <v>109</v>
      </c>
      <c r="D363" s="284">
        <v>55154</v>
      </c>
      <c r="E363" s="292">
        <v>55243</v>
      </c>
      <c r="F363" s="292">
        <v>55213</v>
      </c>
      <c r="G363" s="292">
        <v>55243</v>
      </c>
      <c r="H363" s="292">
        <v>55257</v>
      </c>
      <c r="I363" s="292">
        <v>55263</v>
      </c>
      <c r="J363" s="292">
        <v>55267</v>
      </c>
      <c r="K363" s="10">
        <v>55269</v>
      </c>
    </row>
    <row r="364" spans="2:11" x14ac:dyDescent="0.25">
      <c r="B364" s="335" t="s">
        <v>657</v>
      </c>
      <c r="D364" s="284"/>
      <c r="E364" s="292" t="s">
        <v>657</v>
      </c>
      <c r="F364" s="292">
        <v>55244</v>
      </c>
      <c r="G364" s="292">
        <v>55273</v>
      </c>
      <c r="H364" s="292">
        <v>55288</v>
      </c>
      <c r="I364" s="292" t="s">
        <v>657</v>
      </c>
      <c r="J364" s="292"/>
      <c r="K364" s="10" t="s">
        <v>657</v>
      </c>
    </row>
    <row r="365" spans="2:11" x14ac:dyDescent="0.25">
      <c r="B365" s="335" t="s">
        <v>657</v>
      </c>
      <c r="D365" s="284"/>
      <c r="E365" s="292" t="s">
        <v>657</v>
      </c>
      <c r="F365" s="292">
        <v>55274</v>
      </c>
      <c r="G365" s="292">
        <v>55304</v>
      </c>
      <c r="H365" s="292">
        <v>55319</v>
      </c>
      <c r="I365" s="292" t="s">
        <v>657</v>
      </c>
      <c r="J365" s="292"/>
      <c r="K365" s="10" t="s">
        <v>657</v>
      </c>
    </row>
    <row r="366" spans="2:11" x14ac:dyDescent="0.25">
      <c r="B366" s="335">
        <v>110</v>
      </c>
      <c r="D366" s="284">
        <v>55244</v>
      </c>
      <c r="E366" s="292">
        <v>55334</v>
      </c>
      <c r="F366" s="292">
        <v>55305</v>
      </c>
      <c r="G366" s="292">
        <v>55334</v>
      </c>
      <c r="H366" s="292">
        <v>55348</v>
      </c>
      <c r="I366" s="292">
        <v>55354</v>
      </c>
      <c r="J366" s="292">
        <v>55358</v>
      </c>
      <c r="K366" s="10">
        <v>55360</v>
      </c>
    </row>
    <row r="367" spans="2:11" x14ac:dyDescent="0.25">
      <c r="B367" s="335" t="s">
        <v>657</v>
      </c>
      <c r="D367" s="284"/>
      <c r="E367" s="292" t="s">
        <v>657</v>
      </c>
      <c r="F367" s="292">
        <v>55335</v>
      </c>
      <c r="G367" s="292">
        <v>55365</v>
      </c>
      <c r="H367" s="292">
        <v>55380</v>
      </c>
      <c r="I367" s="292" t="s">
        <v>657</v>
      </c>
      <c r="J367" s="292"/>
      <c r="K367" s="10" t="s">
        <v>657</v>
      </c>
    </row>
    <row r="368" spans="2:11" x14ac:dyDescent="0.25">
      <c r="B368" s="335" t="s">
        <v>657</v>
      </c>
      <c r="D368" s="284"/>
      <c r="E368" s="292" t="s">
        <v>657</v>
      </c>
      <c r="F368" s="292">
        <v>55366</v>
      </c>
      <c r="G368" s="292">
        <v>55396</v>
      </c>
      <c r="H368" s="292">
        <v>55411</v>
      </c>
      <c r="I368" s="292" t="s">
        <v>657</v>
      </c>
      <c r="J368" s="292"/>
      <c r="K368" s="10" t="s">
        <v>657</v>
      </c>
    </row>
    <row r="369" spans="2:11" x14ac:dyDescent="0.25">
      <c r="B369" s="335">
        <v>111</v>
      </c>
      <c r="D369" s="284">
        <v>55335</v>
      </c>
      <c r="E369" s="292">
        <v>55426</v>
      </c>
      <c r="F369" s="292">
        <v>55397</v>
      </c>
      <c r="G369" s="292">
        <v>55426</v>
      </c>
      <c r="H369" s="292">
        <v>55439</v>
      </c>
      <c r="I369" s="292">
        <v>55445</v>
      </c>
      <c r="J369" s="292">
        <v>55449</v>
      </c>
      <c r="K369" s="10">
        <v>55451</v>
      </c>
    </row>
    <row r="370" spans="2:11" ht="15.75" thickBot="1" x14ac:dyDescent="0.3">
      <c r="B370" s="819"/>
      <c r="C370" s="801"/>
      <c r="D370" s="820"/>
      <c r="E370" s="821"/>
      <c r="F370" s="822">
        <v>55427</v>
      </c>
      <c r="G370" s="821"/>
      <c r="H370" s="821"/>
      <c r="I370" s="821"/>
      <c r="J370" s="821" t="s">
        <v>657</v>
      </c>
      <c r="K370" s="823" t="s">
        <v>657</v>
      </c>
    </row>
  </sheetData>
  <mergeCells count="20">
    <mergeCell ref="H27:I27"/>
    <mergeCell ref="B7:I7"/>
    <mergeCell ref="D14:E14"/>
    <mergeCell ref="D16:E16"/>
    <mergeCell ref="D17:E17"/>
    <mergeCell ref="D12:E12"/>
    <mergeCell ref="D15:E15"/>
    <mergeCell ref="D30:E30"/>
    <mergeCell ref="D20:E20"/>
    <mergeCell ref="D21:E21"/>
    <mergeCell ref="D22:E22"/>
    <mergeCell ref="D18:E18"/>
    <mergeCell ref="D25:E25"/>
    <mergeCell ref="D19:E19"/>
    <mergeCell ref="D23:E23"/>
    <mergeCell ref="D24:E24"/>
    <mergeCell ref="D28:E28"/>
    <mergeCell ref="D29:E29"/>
    <mergeCell ref="D26:E26"/>
    <mergeCell ref="D27:E27"/>
  </mergeCells>
  <phoneticPr fontId="111" type="noConversion"/>
  <dataValidations count="1">
    <dataValidation type="list" allowBlank="1" showInputMessage="1" showErrorMessage="1" sqref="D9" xr:uid="{061288BB-E98D-4F18-AD8B-724D082DF995}">
      <formula1>$B$36:$B$75</formula1>
    </dataValidation>
  </dataValidations>
  <pageMargins left="0.7" right="0.7" top="0.75" bottom="0.75" header="0.3" footer="0.3"/>
  <pageSetup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249977111117893"/>
  </sheetPr>
  <dimension ref="A2:N79"/>
  <sheetViews>
    <sheetView workbookViewId="0">
      <selection activeCell="C37" sqref="C37"/>
    </sheetView>
  </sheetViews>
  <sheetFormatPr defaultColWidth="11.42578125" defaultRowHeight="12.75" x14ac:dyDescent="0.2"/>
  <cols>
    <col min="1" max="1" width="3.5703125" style="26" customWidth="1"/>
    <col min="2" max="2" width="2.42578125" style="26" customWidth="1"/>
    <col min="3" max="3" width="66.85546875" style="26" customWidth="1"/>
    <col min="4" max="4" width="5" style="26" customWidth="1"/>
    <col min="5" max="5" width="1.42578125" style="26" customWidth="1"/>
    <col min="6" max="6" width="31.42578125" style="26" customWidth="1"/>
    <col min="7" max="7" width="4.85546875" style="26" customWidth="1"/>
    <col min="8" max="8" width="10.140625" style="26" bestFit="1" customWidth="1"/>
    <col min="9" max="9" width="4.5703125" style="26" customWidth="1"/>
    <col min="10" max="10" width="12.42578125" style="26" bestFit="1" customWidth="1"/>
    <col min="11" max="11" width="13.42578125" style="26" customWidth="1"/>
    <col min="12" max="12" width="7.42578125" style="26" bestFit="1" customWidth="1"/>
    <col min="13" max="13" width="19.85546875" style="26" bestFit="1" customWidth="1"/>
    <col min="14" max="248" width="11.42578125" style="26"/>
    <col min="249" max="249" width="2.42578125" style="26" customWidth="1"/>
    <col min="250" max="250" width="49" style="26" customWidth="1"/>
    <col min="251" max="251" width="16.85546875" style="26" customWidth="1"/>
    <col min="252" max="252" width="1.140625" style="26" customWidth="1"/>
    <col min="253" max="253" width="20.5703125" style="26" customWidth="1"/>
    <col min="254" max="254" width="17.5703125" style="26" customWidth="1"/>
    <col min="255" max="255" width="18.140625" style="26" customWidth="1"/>
    <col min="256" max="256" width="17.140625" style="26" customWidth="1"/>
    <col min="257" max="257" width="22.42578125" style="26" bestFit="1" customWidth="1"/>
    <col min="258" max="258" width="22.140625" style="26" customWidth="1"/>
    <col min="259" max="259" width="17.85546875" style="26" customWidth="1"/>
    <col min="260" max="260" width="22.42578125" style="26" customWidth="1"/>
    <col min="261" max="261" width="10.140625" style="26" bestFit="1" customWidth="1"/>
    <col min="262" max="262" width="13.42578125" style="26" customWidth="1"/>
    <col min="263" max="263" width="7.42578125" style="26" bestFit="1" customWidth="1"/>
    <col min="264" max="264" width="15.42578125" style="26" bestFit="1" customWidth="1"/>
    <col min="265" max="265" width="7.42578125" style="26" bestFit="1" customWidth="1"/>
    <col min="266" max="266" width="19.5703125" style="26" bestFit="1" customWidth="1"/>
    <col min="267" max="267" width="7.42578125" style="26" bestFit="1" customWidth="1"/>
    <col min="268" max="268" width="26.85546875" style="26" bestFit="1" customWidth="1"/>
    <col min="269" max="269" width="19.85546875" style="26" bestFit="1" customWidth="1"/>
    <col min="270" max="504" width="11.42578125" style="26"/>
    <col min="505" max="505" width="2.42578125" style="26" customWidth="1"/>
    <col min="506" max="506" width="49" style="26" customWidth="1"/>
    <col min="507" max="507" width="16.85546875" style="26" customWidth="1"/>
    <col min="508" max="508" width="1.140625" style="26" customWidth="1"/>
    <col min="509" max="509" width="20.5703125" style="26" customWidth="1"/>
    <col min="510" max="510" width="17.5703125" style="26" customWidth="1"/>
    <col min="511" max="511" width="18.140625" style="26" customWidth="1"/>
    <col min="512" max="512" width="17.140625" style="26" customWidth="1"/>
    <col min="513" max="513" width="22.42578125" style="26" bestFit="1" customWidth="1"/>
    <col min="514" max="514" width="22.140625" style="26" customWidth="1"/>
    <col min="515" max="515" width="17.85546875" style="26" customWidth="1"/>
    <col min="516" max="516" width="22.42578125" style="26" customWidth="1"/>
    <col min="517" max="517" width="10.140625" style="26" bestFit="1" customWidth="1"/>
    <col min="518" max="518" width="13.42578125" style="26" customWidth="1"/>
    <col min="519" max="519" width="7.42578125" style="26" bestFit="1" customWidth="1"/>
    <col min="520" max="520" width="15.42578125" style="26" bestFit="1" customWidth="1"/>
    <col min="521" max="521" width="7.42578125" style="26" bestFit="1" customWidth="1"/>
    <col min="522" max="522" width="19.5703125" style="26" bestFit="1" customWidth="1"/>
    <col min="523" max="523" width="7.42578125" style="26" bestFit="1" customWidth="1"/>
    <col min="524" max="524" width="26.85546875" style="26" bestFit="1" customWidth="1"/>
    <col min="525" max="525" width="19.85546875" style="26" bestFit="1" customWidth="1"/>
    <col min="526" max="760" width="11.42578125" style="26"/>
    <col min="761" max="761" width="2.42578125" style="26" customWidth="1"/>
    <col min="762" max="762" width="49" style="26" customWidth="1"/>
    <col min="763" max="763" width="16.85546875" style="26" customWidth="1"/>
    <col min="764" max="764" width="1.140625" style="26" customWidth="1"/>
    <col min="765" max="765" width="20.5703125" style="26" customWidth="1"/>
    <col min="766" max="766" width="17.5703125" style="26" customWidth="1"/>
    <col min="767" max="767" width="18.140625" style="26" customWidth="1"/>
    <col min="768" max="768" width="17.140625" style="26" customWidth="1"/>
    <col min="769" max="769" width="22.42578125" style="26" bestFit="1" customWidth="1"/>
    <col min="770" max="770" width="22.140625" style="26" customWidth="1"/>
    <col min="771" max="771" width="17.85546875" style="26" customWidth="1"/>
    <col min="772" max="772" width="22.42578125" style="26" customWidth="1"/>
    <col min="773" max="773" width="10.140625" style="26" bestFit="1" customWidth="1"/>
    <col min="774" max="774" width="13.42578125" style="26" customWidth="1"/>
    <col min="775" max="775" width="7.42578125" style="26" bestFit="1" customWidth="1"/>
    <col min="776" max="776" width="15.42578125" style="26" bestFit="1" customWidth="1"/>
    <col min="777" max="777" width="7.42578125" style="26" bestFit="1" customWidth="1"/>
    <col min="778" max="778" width="19.5703125" style="26" bestFit="1" customWidth="1"/>
    <col min="779" max="779" width="7.42578125" style="26" bestFit="1" customWidth="1"/>
    <col min="780" max="780" width="26.85546875" style="26" bestFit="1" customWidth="1"/>
    <col min="781" max="781" width="19.85546875" style="26" bestFit="1" customWidth="1"/>
    <col min="782" max="1016" width="11.42578125" style="26"/>
    <col min="1017" max="1017" width="2.42578125" style="26" customWidth="1"/>
    <col min="1018" max="1018" width="49" style="26" customWidth="1"/>
    <col min="1019" max="1019" width="16.85546875" style="26" customWidth="1"/>
    <col min="1020" max="1020" width="1.140625" style="26" customWidth="1"/>
    <col min="1021" max="1021" width="20.5703125" style="26" customWidth="1"/>
    <col min="1022" max="1022" width="17.5703125" style="26" customWidth="1"/>
    <col min="1023" max="1023" width="18.140625" style="26" customWidth="1"/>
    <col min="1024" max="1024" width="17.140625" style="26" customWidth="1"/>
    <col min="1025" max="1025" width="22.42578125" style="26" bestFit="1" customWidth="1"/>
    <col min="1026" max="1026" width="22.140625" style="26" customWidth="1"/>
    <col min="1027" max="1027" width="17.85546875" style="26" customWidth="1"/>
    <col min="1028" max="1028" width="22.42578125" style="26" customWidth="1"/>
    <col min="1029" max="1029" width="10.140625" style="26" bestFit="1" customWidth="1"/>
    <col min="1030" max="1030" width="13.42578125" style="26" customWidth="1"/>
    <col min="1031" max="1031" width="7.42578125" style="26" bestFit="1" customWidth="1"/>
    <col min="1032" max="1032" width="15.42578125" style="26" bestFit="1" customWidth="1"/>
    <col min="1033" max="1033" width="7.42578125" style="26" bestFit="1" customWidth="1"/>
    <col min="1034" max="1034" width="19.5703125" style="26" bestFit="1" customWidth="1"/>
    <col min="1035" max="1035" width="7.42578125" style="26" bestFit="1" customWidth="1"/>
    <col min="1036" max="1036" width="26.85546875" style="26" bestFit="1" customWidth="1"/>
    <col min="1037" max="1037" width="19.85546875" style="26" bestFit="1" customWidth="1"/>
    <col min="1038" max="1272" width="11.42578125" style="26"/>
    <col min="1273" max="1273" width="2.42578125" style="26" customWidth="1"/>
    <col min="1274" max="1274" width="49" style="26" customWidth="1"/>
    <col min="1275" max="1275" width="16.85546875" style="26" customWidth="1"/>
    <col min="1276" max="1276" width="1.140625" style="26" customWidth="1"/>
    <col min="1277" max="1277" width="20.5703125" style="26" customWidth="1"/>
    <col min="1278" max="1278" width="17.5703125" style="26" customWidth="1"/>
    <col min="1279" max="1279" width="18.140625" style="26" customWidth="1"/>
    <col min="1280" max="1280" width="17.140625" style="26" customWidth="1"/>
    <col min="1281" max="1281" width="22.42578125" style="26" bestFit="1" customWidth="1"/>
    <col min="1282" max="1282" width="22.140625" style="26" customWidth="1"/>
    <col min="1283" max="1283" width="17.85546875" style="26" customWidth="1"/>
    <col min="1284" max="1284" width="22.42578125" style="26" customWidth="1"/>
    <col min="1285" max="1285" width="10.140625" style="26" bestFit="1" customWidth="1"/>
    <col min="1286" max="1286" width="13.42578125" style="26" customWidth="1"/>
    <col min="1287" max="1287" width="7.42578125" style="26" bestFit="1" customWidth="1"/>
    <col min="1288" max="1288" width="15.42578125" style="26" bestFit="1" customWidth="1"/>
    <col min="1289" max="1289" width="7.42578125" style="26" bestFit="1" customWidth="1"/>
    <col min="1290" max="1290" width="19.5703125" style="26" bestFit="1" customWidth="1"/>
    <col min="1291" max="1291" width="7.42578125" style="26" bestFit="1" customWidth="1"/>
    <col min="1292" max="1292" width="26.85546875" style="26" bestFit="1" customWidth="1"/>
    <col min="1293" max="1293" width="19.85546875" style="26" bestFit="1" customWidth="1"/>
    <col min="1294" max="1528" width="11.42578125" style="26"/>
    <col min="1529" max="1529" width="2.42578125" style="26" customWidth="1"/>
    <col min="1530" max="1530" width="49" style="26" customWidth="1"/>
    <col min="1531" max="1531" width="16.85546875" style="26" customWidth="1"/>
    <col min="1532" max="1532" width="1.140625" style="26" customWidth="1"/>
    <col min="1533" max="1533" width="20.5703125" style="26" customWidth="1"/>
    <col min="1534" max="1534" width="17.5703125" style="26" customWidth="1"/>
    <col min="1535" max="1535" width="18.140625" style="26" customWidth="1"/>
    <col min="1536" max="1536" width="17.140625" style="26" customWidth="1"/>
    <col min="1537" max="1537" width="22.42578125" style="26" bestFit="1" customWidth="1"/>
    <col min="1538" max="1538" width="22.140625" style="26" customWidth="1"/>
    <col min="1539" max="1539" width="17.85546875" style="26" customWidth="1"/>
    <col min="1540" max="1540" width="22.42578125" style="26" customWidth="1"/>
    <col min="1541" max="1541" width="10.140625" style="26" bestFit="1" customWidth="1"/>
    <col min="1542" max="1542" width="13.42578125" style="26" customWidth="1"/>
    <col min="1543" max="1543" width="7.42578125" style="26" bestFit="1" customWidth="1"/>
    <col min="1544" max="1544" width="15.42578125" style="26" bestFit="1" customWidth="1"/>
    <col min="1545" max="1545" width="7.42578125" style="26" bestFit="1" customWidth="1"/>
    <col min="1546" max="1546" width="19.5703125" style="26" bestFit="1" customWidth="1"/>
    <col min="1547" max="1547" width="7.42578125" style="26" bestFit="1" customWidth="1"/>
    <col min="1548" max="1548" width="26.85546875" style="26" bestFit="1" customWidth="1"/>
    <col min="1549" max="1549" width="19.85546875" style="26" bestFit="1" customWidth="1"/>
    <col min="1550" max="1784" width="11.42578125" style="26"/>
    <col min="1785" max="1785" width="2.42578125" style="26" customWidth="1"/>
    <col min="1786" max="1786" width="49" style="26" customWidth="1"/>
    <col min="1787" max="1787" width="16.85546875" style="26" customWidth="1"/>
    <col min="1788" max="1788" width="1.140625" style="26" customWidth="1"/>
    <col min="1789" max="1789" width="20.5703125" style="26" customWidth="1"/>
    <col min="1790" max="1790" width="17.5703125" style="26" customWidth="1"/>
    <col min="1791" max="1791" width="18.140625" style="26" customWidth="1"/>
    <col min="1792" max="1792" width="17.140625" style="26" customWidth="1"/>
    <col min="1793" max="1793" width="22.42578125" style="26" bestFit="1" customWidth="1"/>
    <col min="1794" max="1794" width="22.140625" style="26" customWidth="1"/>
    <col min="1795" max="1795" width="17.85546875" style="26" customWidth="1"/>
    <col min="1796" max="1796" width="22.42578125" style="26" customWidth="1"/>
    <col min="1797" max="1797" width="10.140625" style="26" bestFit="1" customWidth="1"/>
    <col min="1798" max="1798" width="13.42578125" style="26" customWidth="1"/>
    <col min="1799" max="1799" width="7.42578125" style="26" bestFit="1" customWidth="1"/>
    <col min="1800" max="1800" width="15.42578125" style="26" bestFit="1" customWidth="1"/>
    <col min="1801" max="1801" width="7.42578125" style="26" bestFit="1" customWidth="1"/>
    <col min="1802" max="1802" width="19.5703125" style="26" bestFit="1" customWidth="1"/>
    <col min="1803" max="1803" width="7.42578125" style="26" bestFit="1" customWidth="1"/>
    <col min="1804" max="1804" width="26.85546875" style="26" bestFit="1" customWidth="1"/>
    <col min="1805" max="1805" width="19.85546875" style="26" bestFit="1" customWidth="1"/>
    <col min="1806" max="2040" width="11.42578125" style="26"/>
    <col min="2041" max="2041" width="2.42578125" style="26" customWidth="1"/>
    <col min="2042" max="2042" width="49" style="26" customWidth="1"/>
    <col min="2043" max="2043" width="16.85546875" style="26" customWidth="1"/>
    <col min="2044" max="2044" width="1.140625" style="26" customWidth="1"/>
    <col min="2045" max="2045" width="20.5703125" style="26" customWidth="1"/>
    <col min="2046" max="2046" width="17.5703125" style="26" customWidth="1"/>
    <col min="2047" max="2047" width="18.140625" style="26" customWidth="1"/>
    <col min="2048" max="2048" width="17.140625" style="26" customWidth="1"/>
    <col min="2049" max="2049" width="22.42578125" style="26" bestFit="1" customWidth="1"/>
    <col min="2050" max="2050" width="22.140625" style="26" customWidth="1"/>
    <col min="2051" max="2051" width="17.85546875" style="26" customWidth="1"/>
    <col min="2052" max="2052" width="22.42578125" style="26" customWidth="1"/>
    <col min="2053" max="2053" width="10.140625" style="26" bestFit="1" customWidth="1"/>
    <col min="2054" max="2054" width="13.42578125" style="26" customWidth="1"/>
    <col min="2055" max="2055" width="7.42578125" style="26" bestFit="1" customWidth="1"/>
    <col min="2056" max="2056" width="15.42578125" style="26" bestFit="1" customWidth="1"/>
    <col min="2057" max="2057" width="7.42578125" style="26" bestFit="1" customWidth="1"/>
    <col min="2058" max="2058" width="19.5703125" style="26" bestFit="1" customWidth="1"/>
    <col min="2059" max="2059" width="7.42578125" style="26" bestFit="1" customWidth="1"/>
    <col min="2060" max="2060" width="26.85546875" style="26" bestFit="1" customWidth="1"/>
    <col min="2061" max="2061" width="19.85546875" style="26" bestFit="1" customWidth="1"/>
    <col min="2062" max="2296" width="11.42578125" style="26"/>
    <col min="2297" max="2297" width="2.42578125" style="26" customWidth="1"/>
    <col min="2298" max="2298" width="49" style="26" customWidth="1"/>
    <col min="2299" max="2299" width="16.85546875" style="26" customWidth="1"/>
    <col min="2300" max="2300" width="1.140625" style="26" customWidth="1"/>
    <col min="2301" max="2301" width="20.5703125" style="26" customWidth="1"/>
    <col min="2302" max="2302" width="17.5703125" style="26" customWidth="1"/>
    <col min="2303" max="2303" width="18.140625" style="26" customWidth="1"/>
    <col min="2304" max="2304" width="17.140625" style="26" customWidth="1"/>
    <col min="2305" max="2305" width="22.42578125" style="26" bestFit="1" customWidth="1"/>
    <col min="2306" max="2306" width="22.140625" style="26" customWidth="1"/>
    <col min="2307" max="2307" width="17.85546875" style="26" customWidth="1"/>
    <col min="2308" max="2308" width="22.42578125" style="26" customWidth="1"/>
    <col min="2309" max="2309" width="10.140625" style="26" bestFit="1" customWidth="1"/>
    <col min="2310" max="2310" width="13.42578125" style="26" customWidth="1"/>
    <col min="2311" max="2311" width="7.42578125" style="26" bestFit="1" customWidth="1"/>
    <col min="2312" max="2312" width="15.42578125" style="26" bestFit="1" customWidth="1"/>
    <col min="2313" max="2313" width="7.42578125" style="26" bestFit="1" customWidth="1"/>
    <col min="2314" max="2314" width="19.5703125" style="26" bestFit="1" customWidth="1"/>
    <col min="2315" max="2315" width="7.42578125" style="26" bestFit="1" customWidth="1"/>
    <col min="2316" max="2316" width="26.85546875" style="26" bestFit="1" customWidth="1"/>
    <col min="2317" max="2317" width="19.85546875" style="26" bestFit="1" customWidth="1"/>
    <col min="2318" max="2552" width="11.42578125" style="26"/>
    <col min="2553" max="2553" width="2.42578125" style="26" customWidth="1"/>
    <col min="2554" max="2554" width="49" style="26" customWidth="1"/>
    <col min="2555" max="2555" width="16.85546875" style="26" customWidth="1"/>
    <col min="2556" max="2556" width="1.140625" style="26" customWidth="1"/>
    <col min="2557" max="2557" width="20.5703125" style="26" customWidth="1"/>
    <col min="2558" max="2558" width="17.5703125" style="26" customWidth="1"/>
    <col min="2559" max="2559" width="18.140625" style="26" customWidth="1"/>
    <col min="2560" max="2560" width="17.140625" style="26" customWidth="1"/>
    <col min="2561" max="2561" width="22.42578125" style="26" bestFit="1" customWidth="1"/>
    <col min="2562" max="2562" width="22.140625" style="26" customWidth="1"/>
    <col min="2563" max="2563" width="17.85546875" style="26" customWidth="1"/>
    <col min="2564" max="2564" width="22.42578125" style="26" customWidth="1"/>
    <col min="2565" max="2565" width="10.140625" style="26" bestFit="1" customWidth="1"/>
    <col min="2566" max="2566" width="13.42578125" style="26" customWidth="1"/>
    <col min="2567" max="2567" width="7.42578125" style="26" bestFit="1" customWidth="1"/>
    <col min="2568" max="2568" width="15.42578125" style="26" bestFit="1" customWidth="1"/>
    <col min="2569" max="2569" width="7.42578125" style="26" bestFit="1" customWidth="1"/>
    <col min="2570" max="2570" width="19.5703125" style="26" bestFit="1" customWidth="1"/>
    <col min="2571" max="2571" width="7.42578125" style="26" bestFit="1" customWidth="1"/>
    <col min="2572" max="2572" width="26.85546875" style="26" bestFit="1" customWidth="1"/>
    <col min="2573" max="2573" width="19.85546875" style="26" bestFit="1" customWidth="1"/>
    <col min="2574" max="2808" width="11.42578125" style="26"/>
    <col min="2809" max="2809" width="2.42578125" style="26" customWidth="1"/>
    <col min="2810" max="2810" width="49" style="26" customWidth="1"/>
    <col min="2811" max="2811" width="16.85546875" style="26" customWidth="1"/>
    <col min="2812" max="2812" width="1.140625" style="26" customWidth="1"/>
    <col min="2813" max="2813" width="20.5703125" style="26" customWidth="1"/>
    <col min="2814" max="2814" width="17.5703125" style="26" customWidth="1"/>
    <col min="2815" max="2815" width="18.140625" style="26" customWidth="1"/>
    <col min="2816" max="2816" width="17.140625" style="26" customWidth="1"/>
    <col min="2817" max="2817" width="22.42578125" style="26" bestFit="1" customWidth="1"/>
    <col min="2818" max="2818" width="22.140625" style="26" customWidth="1"/>
    <col min="2819" max="2819" width="17.85546875" style="26" customWidth="1"/>
    <col min="2820" max="2820" width="22.42578125" style="26" customWidth="1"/>
    <col min="2821" max="2821" width="10.140625" style="26" bestFit="1" customWidth="1"/>
    <col min="2822" max="2822" width="13.42578125" style="26" customWidth="1"/>
    <col min="2823" max="2823" width="7.42578125" style="26" bestFit="1" customWidth="1"/>
    <col min="2824" max="2824" width="15.42578125" style="26" bestFit="1" customWidth="1"/>
    <col min="2825" max="2825" width="7.42578125" style="26" bestFit="1" customWidth="1"/>
    <col min="2826" max="2826" width="19.5703125" style="26" bestFit="1" customWidth="1"/>
    <col min="2827" max="2827" width="7.42578125" style="26" bestFit="1" customWidth="1"/>
    <col min="2828" max="2828" width="26.85546875" style="26" bestFit="1" customWidth="1"/>
    <col min="2829" max="2829" width="19.85546875" style="26" bestFit="1" customWidth="1"/>
    <col min="2830" max="3064" width="11.42578125" style="26"/>
    <col min="3065" max="3065" width="2.42578125" style="26" customWidth="1"/>
    <col min="3066" max="3066" width="49" style="26" customWidth="1"/>
    <col min="3067" max="3067" width="16.85546875" style="26" customWidth="1"/>
    <col min="3068" max="3068" width="1.140625" style="26" customWidth="1"/>
    <col min="3069" max="3069" width="20.5703125" style="26" customWidth="1"/>
    <col min="3070" max="3070" width="17.5703125" style="26" customWidth="1"/>
    <col min="3071" max="3071" width="18.140625" style="26" customWidth="1"/>
    <col min="3072" max="3072" width="17.140625" style="26" customWidth="1"/>
    <col min="3073" max="3073" width="22.42578125" style="26" bestFit="1" customWidth="1"/>
    <col min="3074" max="3074" width="22.140625" style="26" customWidth="1"/>
    <col min="3075" max="3075" width="17.85546875" style="26" customWidth="1"/>
    <col min="3076" max="3076" width="22.42578125" style="26" customWidth="1"/>
    <col min="3077" max="3077" width="10.140625" style="26" bestFit="1" customWidth="1"/>
    <col min="3078" max="3078" width="13.42578125" style="26" customWidth="1"/>
    <col min="3079" max="3079" width="7.42578125" style="26" bestFit="1" customWidth="1"/>
    <col min="3080" max="3080" width="15.42578125" style="26" bestFit="1" customWidth="1"/>
    <col min="3081" max="3081" width="7.42578125" style="26" bestFit="1" customWidth="1"/>
    <col min="3082" max="3082" width="19.5703125" style="26" bestFit="1" customWidth="1"/>
    <col min="3083" max="3083" width="7.42578125" style="26" bestFit="1" customWidth="1"/>
    <col min="3084" max="3084" width="26.85546875" style="26" bestFit="1" customWidth="1"/>
    <col min="3085" max="3085" width="19.85546875" style="26" bestFit="1" customWidth="1"/>
    <col min="3086" max="3320" width="11.42578125" style="26"/>
    <col min="3321" max="3321" width="2.42578125" style="26" customWidth="1"/>
    <col min="3322" max="3322" width="49" style="26" customWidth="1"/>
    <col min="3323" max="3323" width="16.85546875" style="26" customWidth="1"/>
    <col min="3324" max="3324" width="1.140625" style="26" customWidth="1"/>
    <col min="3325" max="3325" width="20.5703125" style="26" customWidth="1"/>
    <col min="3326" max="3326" width="17.5703125" style="26" customWidth="1"/>
    <col min="3327" max="3327" width="18.140625" style="26" customWidth="1"/>
    <col min="3328" max="3328" width="17.140625" style="26" customWidth="1"/>
    <col min="3329" max="3329" width="22.42578125" style="26" bestFit="1" customWidth="1"/>
    <col min="3330" max="3330" width="22.140625" style="26" customWidth="1"/>
    <col min="3331" max="3331" width="17.85546875" style="26" customWidth="1"/>
    <col min="3332" max="3332" width="22.42578125" style="26" customWidth="1"/>
    <col min="3333" max="3333" width="10.140625" style="26" bestFit="1" customWidth="1"/>
    <col min="3334" max="3334" width="13.42578125" style="26" customWidth="1"/>
    <col min="3335" max="3335" width="7.42578125" style="26" bestFit="1" customWidth="1"/>
    <col min="3336" max="3336" width="15.42578125" style="26" bestFit="1" customWidth="1"/>
    <col min="3337" max="3337" width="7.42578125" style="26" bestFit="1" customWidth="1"/>
    <col min="3338" max="3338" width="19.5703125" style="26" bestFit="1" customWidth="1"/>
    <col min="3339" max="3339" width="7.42578125" style="26" bestFit="1" customWidth="1"/>
    <col min="3340" max="3340" width="26.85546875" style="26" bestFit="1" customWidth="1"/>
    <col min="3341" max="3341" width="19.85546875" style="26" bestFit="1" customWidth="1"/>
    <col min="3342" max="3576" width="11.42578125" style="26"/>
    <col min="3577" max="3577" width="2.42578125" style="26" customWidth="1"/>
    <col min="3578" max="3578" width="49" style="26" customWidth="1"/>
    <col min="3579" max="3579" width="16.85546875" style="26" customWidth="1"/>
    <col min="3580" max="3580" width="1.140625" style="26" customWidth="1"/>
    <col min="3581" max="3581" width="20.5703125" style="26" customWidth="1"/>
    <col min="3582" max="3582" width="17.5703125" style="26" customWidth="1"/>
    <col min="3583" max="3583" width="18.140625" style="26" customWidth="1"/>
    <col min="3584" max="3584" width="17.140625" style="26" customWidth="1"/>
    <col min="3585" max="3585" width="22.42578125" style="26" bestFit="1" customWidth="1"/>
    <col min="3586" max="3586" width="22.140625" style="26" customWidth="1"/>
    <col min="3587" max="3587" width="17.85546875" style="26" customWidth="1"/>
    <col min="3588" max="3588" width="22.42578125" style="26" customWidth="1"/>
    <col min="3589" max="3589" width="10.140625" style="26" bestFit="1" customWidth="1"/>
    <col min="3590" max="3590" width="13.42578125" style="26" customWidth="1"/>
    <col min="3591" max="3591" width="7.42578125" style="26" bestFit="1" customWidth="1"/>
    <col min="3592" max="3592" width="15.42578125" style="26" bestFit="1" customWidth="1"/>
    <col min="3593" max="3593" width="7.42578125" style="26" bestFit="1" customWidth="1"/>
    <col min="3594" max="3594" width="19.5703125" style="26" bestFit="1" customWidth="1"/>
    <col min="3595" max="3595" width="7.42578125" style="26" bestFit="1" customWidth="1"/>
    <col min="3596" max="3596" width="26.85546875" style="26" bestFit="1" customWidth="1"/>
    <col min="3597" max="3597" width="19.85546875" style="26" bestFit="1" customWidth="1"/>
    <col min="3598" max="3832" width="11.42578125" style="26"/>
    <col min="3833" max="3833" width="2.42578125" style="26" customWidth="1"/>
    <col min="3834" max="3834" width="49" style="26" customWidth="1"/>
    <col min="3835" max="3835" width="16.85546875" style="26" customWidth="1"/>
    <col min="3836" max="3836" width="1.140625" style="26" customWidth="1"/>
    <col min="3837" max="3837" width="20.5703125" style="26" customWidth="1"/>
    <col min="3838" max="3838" width="17.5703125" style="26" customWidth="1"/>
    <col min="3839" max="3839" width="18.140625" style="26" customWidth="1"/>
    <col min="3840" max="3840" width="17.140625" style="26" customWidth="1"/>
    <col min="3841" max="3841" width="22.42578125" style="26" bestFit="1" customWidth="1"/>
    <col min="3842" max="3842" width="22.140625" style="26" customWidth="1"/>
    <col min="3843" max="3843" width="17.85546875" style="26" customWidth="1"/>
    <col min="3844" max="3844" width="22.42578125" style="26" customWidth="1"/>
    <col min="3845" max="3845" width="10.140625" style="26" bestFit="1" customWidth="1"/>
    <col min="3846" max="3846" width="13.42578125" style="26" customWidth="1"/>
    <col min="3847" max="3847" width="7.42578125" style="26" bestFit="1" customWidth="1"/>
    <col min="3848" max="3848" width="15.42578125" style="26" bestFit="1" customWidth="1"/>
    <col min="3849" max="3849" width="7.42578125" style="26" bestFit="1" customWidth="1"/>
    <col min="3850" max="3850" width="19.5703125" style="26" bestFit="1" customWidth="1"/>
    <col min="3851" max="3851" width="7.42578125" style="26" bestFit="1" customWidth="1"/>
    <col min="3852" max="3852" width="26.85546875" style="26" bestFit="1" customWidth="1"/>
    <col min="3853" max="3853" width="19.85546875" style="26" bestFit="1" customWidth="1"/>
    <col min="3854" max="4088" width="11.42578125" style="26"/>
    <col min="4089" max="4089" width="2.42578125" style="26" customWidth="1"/>
    <col min="4090" max="4090" width="49" style="26" customWidth="1"/>
    <col min="4091" max="4091" width="16.85546875" style="26" customWidth="1"/>
    <col min="4092" max="4092" width="1.140625" style="26" customWidth="1"/>
    <col min="4093" max="4093" width="20.5703125" style="26" customWidth="1"/>
    <col min="4094" max="4094" width="17.5703125" style="26" customWidth="1"/>
    <col min="4095" max="4095" width="18.140625" style="26" customWidth="1"/>
    <col min="4096" max="4096" width="17.140625" style="26" customWidth="1"/>
    <col min="4097" max="4097" width="22.42578125" style="26" bestFit="1" customWidth="1"/>
    <col min="4098" max="4098" width="22.140625" style="26" customWidth="1"/>
    <col min="4099" max="4099" width="17.85546875" style="26" customWidth="1"/>
    <col min="4100" max="4100" width="22.42578125" style="26" customWidth="1"/>
    <col min="4101" max="4101" width="10.140625" style="26" bestFit="1" customWidth="1"/>
    <col min="4102" max="4102" width="13.42578125" style="26" customWidth="1"/>
    <col min="4103" max="4103" width="7.42578125" style="26" bestFit="1" customWidth="1"/>
    <col min="4104" max="4104" width="15.42578125" style="26" bestFit="1" customWidth="1"/>
    <col min="4105" max="4105" width="7.42578125" style="26" bestFit="1" customWidth="1"/>
    <col min="4106" max="4106" width="19.5703125" style="26" bestFit="1" customWidth="1"/>
    <col min="4107" max="4107" width="7.42578125" style="26" bestFit="1" customWidth="1"/>
    <col min="4108" max="4108" width="26.85546875" style="26" bestFit="1" customWidth="1"/>
    <col min="4109" max="4109" width="19.85546875" style="26" bestFit="1" customWidth="1"/>
    <col min="4110" max="4344" width="11.42578125" style="26"/>
    <col min="4345" max="4345" width="2.42578125" style="26" customWidth="1"/>
    <col min="4346" max="4346" width="49" style="26" customWidth="1"/>
    <col min="4347" max="4347" width="16.85546875" style="26" customWidth="1"/>
    <col min="4348" max="4348" width="1.140625" style="26" customWidth="1"/>
    <col min="4349" max="4349" width="20.5703125" style="26" customWidth="1"/>
    <col min="4350" max="4350" width="17.5703125" style="26" customWidth="1"/>
    <col min="4351" max="4351" width="18.140625" style="26" customWidth="1"/>
    <col min="4352" max="4352" width="17.140625" style="26" customWidth="1"/>
    <col min="4353" max="4353" width="22.42578125" style="26" bestFit="1" customWidth="1"/>
    <col min="4354" max="4354" width="22.140625" style="26" customWidth="1"/>
    <col min="4355" max="4355" width="17.85546875" style="26" customWidth="1"/>
    <col min="4356" max="4356" width="22.42578125" style="26" customWidth="1"/>
    <col min="4357" max="4357" width="10.140625" style="26" bestFit="1" customWidth="1"/>
    <col min="4358" max="4358" width="13.42578125" style="26" customWidth="1"/>
    <col min="4359" max="4359" width="7.42578125" style="26" bestFit="1" customWidth="1"/>
    <col min="4360" max="4360" width="15.42578125" style="26" bestFit="1" customWidth="1"/>
    <col min="4361" max="4361" width="7.42578125" style="26" bestFit="1" customWidth="1"/>
    <col min="4362" max="4362" width="19.5703125" style="26" bestFit="1" customWidth="1"/>
    <col min="4363" max="4363" width="7.42578125" style="26" bestFit="1" customWidth="1"/>
    <col min="4364" max="4364" width="26.85546875" style="26" bestFit="1" customWidth="1"/>
    <col min="4365" max="4365" width="19.85546875" style="26" bestFit="1" customWidth="1"/>
    <col min="4366" max="4600" width="11.42578125" style="26"/>
    <col min="4601" max="4601" width="2.42578125" style="26" customWidth="1"/>
    <col min="4602" max="4602" width="49" style="26" customWidth="1"/>
    <col min="4603" max="4603" width="16.85546875" style="26" customWidth="1"/>
    <col min="4604" max="4604" width="1.140625" style="26" customWidth="1"/>
    <col min="4605" max="4605" width="20.5703125" style="26" customWidth="1"/>
    <col min="4606" max="4606" width="17.5703125" style="26" customWidth="1"/>
    <col min="4607" max="4607" width="18.140625" style="26" customWidth="1"/>
    <col min="4608" max="4608" width="17.140625" style="26" customWidth="1"/>
    <col min="4609" max="4609" width="22.42578125" style="26" bestFit="1" customWidth="1"/>
    <col min="4610" max="4610" width="22.140625" style="26" customWidth="1"/>
    <col min="4611" max="4611" width="17.85546875" style="26" customWidth="1"/>
    <col min="4612" max="4612" width="22.42578125" style="26" customWidth="1"/>
    <col min="4613" max="4613" width="10.140625" style="26" bestFit="1" customWidth="1"/>
    <col min="4614" max="4614" width="13.42578125" style="26" customWidth="1"/>
    <col min="4615" max="4615" width="7.42578125" style="26" bestFit="1" customWidth="1"/>
    <col min="4616" max="4616" width="15.42578125" style="26" bestFit="1" customWidth="1"/>
    <col min="4617" max="4617" width="7.42578125" style="26" bestFit="1" customWidth="1"/>
    <col min="4618" max="4618" width="19.5703125" style="26" bestFit="1" customWidth="1"/>
    <col min="4619" max="4619" width="7.42578125" style="26" bestFit="1" customWidth="1"/>
    <col min="4620" max="4620" width="26.85546875" style="26" bestFit="1" customWidth="1"/>
    <col min="4621" max="4621" width="19.85546875" style="26" bestFit="1" customWidth="1"/>
    <col min="4622" max="4856" width="11.42578125" style="26"/>
    <col min="4857" max="4857" width="2.42578125" style="26" customWidth="1"/>
    <col min="4858" max="4858" width="49" style="26" customWidth="1"/>
    <col min="4859" max="4859" width="16.85546875" style="26" customWidth="1"/>
    <col min="4860" max="4860" width="1.140625" style="26" customWidth="1"/>
    <col min="4861" max="4861" width="20.5703125" style="26" customWidth="1"/>
    <col min="4862" max="4862" width="17.5703125" style="26" customWidth="1"/>
    <col min="4863" max="4863" width="18.140625" style="26" customWidth="1"/>
    <col min="4864" max="4864" width="17.140625" style="26" customWidth="1"/>
    <col min="4865" max="4865" width="22.42578125" style="26" bestFit="1" customWidth="1"/>
    <col min="4866" max="4866" width="22.140625" style="26" customWidth="1"/>
    <col min="4867" max="4867" width="17.85546875" style="26" customWidth="1"/>
    <col min="4868" max="4868" width="22.42578125" style="26" customWidth="1"/>
    <col min="4869" max="4869" width="10.140625" style="26" bestFit="1" customWidth="1"/>
    <col min="4870" max="4870" width="13.42578125" style="26" customWidth="1"/>
    <col min="4871" max="4871" width="7.42578125" style="26" bestFit="1" customWidth="1"/>
    <col min="4872" max="4872" width="15.42578125" style="26" bestFit="1" customWidth="1"/>
    <col min="4873" max="4873" width="7.42578125" style="26" bestFit="1" customWidth="1"/>
    <col min="4874" max="4874" width="19.5703125" style="26" bestFit="1" customWidth="1"/>
    <col min="4875" max="4875" width="7.42578125" style="26" bestFit="1" customWidth="1"/>
    <col min="4876" max="4876" width="26.85546875" style="26" bestFit="1" customWidth="1"/>
    <col min="4877" max="4877" width="19.85546875" style="26" bestFit="1" customWidth="1"/>
    <col min="4878" max="5112" width="11.42578125" style="26"/>
    <col min="5113" max="5113" width="2.42578125" style="26" customWidth="1"/>
    <col min="5114" max="5114" width="49" style="26" customWidth="1"/>
    <col min="5115" max="5115" width="16.85546875" style="26" customWidth="1"/>
    <col min="5116" max="5116" width="1.140625" style="26" customWidth="1"/>
    <col min="5117" max="5117" width="20.5703125" style="26" customWidth="1"/>
    <col min="5118" max="5118" width="17.5703125" style="26" customWidth="1"/>
    <col min="5119" max="5119" width="18.140625" style="26" customWidth="1"/>
    <col min="5120" max="5120" width="17.140625" style="26" customWidth="1"/>
    <col min="5121" max="5121" width="22.42578125" style="26" bestFit="1" customWidth="1"/>
    <col min="5122" max="5122" width="22.140625" style="26" customWidth="1"/>
    <col min="5123" max="5123" width="17.85546875" style="26" customWidth="1"/>
    <col min="5124" max="5124" width="22.42578125" style="26" customWidth="1"/>
    <col min="5125" max="5125" width="10.140625" style="26" bestFit="1" customWidth="1"/>
    <col min="5126" max="5126" width="13.42578125" style="26" customWidth="1"/>
    <col min="5127" max="5127" width="7.42578125" style="26" bestFit="1" customWidth="1"/>
    <col min="5128" max="5128" width="15.42578125" style="26" bestFit="1" customWidth="1"/>
    <col min="5129" max="5129" width="7.42578125" style="26" bestFit="1" customWidth="1"/>
    <col min="5130" max="5130" width="19.5703125" style="26" bestFit="1" customWidth="1"/>
    <col min="5131" max="5131" width="7.42578125" style="26" bestFit="1" customWidth="1"/>
    <col min="5132" max="5132" width="26.85546875" style="26" bestFit="1" customWidth="1"/>
    <col min="5133" max="5133" width="19.85546875" style="26" bestFit="1" customWidth="1"/>
    <col min="5134" max="5368" width="11.42578125" style="26"/>
    <col min="5369" max="5369" width="2.42578125" style="26" customWidth="1"/>
    <col min="5370" max="5370" width="49" style="26" customWidth="1"/>
    <col min="5371" max="5371" width="16.85546875" style="26" customWidth="1"/>
    <col min="5372" max="5372" width="1.140625" style="26" customWidth="1"/>
    <col min="5373" max="5373" width="20.5703125" style="26" customWidth="1"/>
    <col min="5374" max="5374" width="17.5703125" style="26" customWidth="1"/>
    <col min="5375" max="5375" width="18.140625" style="26" customWidth="1"/>
    <col min="5376" max="5376" width="17.140625" style="26" customWidth="1"/>
    <col min="5377" max="5377" width="22.42578125" style="26" bestFit="1" customWidth="1"/>
    <col min="5378" max="5378" width="22.140625" style="26" customWidth="1"/>
    <col min="5379" max="5379" width="17.85546875" style="26" customWidth="1"/>
    <col min="5380" max="5380" width="22.42578125" style="26" customWidth="1"/>
    <col min="5381" max="5381" width="10.140625" style="26" bestFit="1" customWidth="1"/>
    <col min="5382" max="5382" width="13.42578125" style="26" customWidth="1"/>
    <col min="5383" max="5383" width="7.42578125" style="26" bestFit="1" customWidth="1"/>
    <col min="5384" max="5384" width="15.42578125" style="26" bestFit="1" customWidth="1"/>
    <col min="5385" max="5385" width="7.42578125" style="26" bestFit="1" customWidth="1"/>
    <col min="5386" max="5386" width="19.5703125" style="26" bestFit="1" customWidth="1"/>
    <col min="5387" max="5387" width="7.42578125" style="26" bestFit="1" customWidth="1"/>
    <col min="5388" max="5388" width="26.85546875" style="26" bestFit="1" customWidth="1"/>
    <col min="5389" max="5389" width="19.85546875" style="26" bestFit="1" customWidth="1"/>
    <col min="5390" max="5624" width="11.42578125" style="26"/>
    <col min="5625" max="5625" width="2.42578125" style="26" customWidth="1"/>
    <col min="5626" max="5626" width="49" style="26" customWidth="1"/>
    <col min="5627" max="5627" width="16.85546875" style="26" customWidth="1"/>
    <col min="5628" max="5628" width="1.140625" style="26" customWidth="1"/>
    <col min="5629" max="5629" width="20.5703125" style="26" customWidth="1"/>
    <col min="5630" max="5630" width="17.5703125" style="26" customWidth="1"/>
    <col min="5631" max="5631" width="18.140625" style="26" customWidth="1"/>
    <col min="5632" max="5632" width="17.140625" style="26" customWidth="1"/>
    <col min="5633" max="5633" width="22.42578125" style="26" bestFit="1" customWidth="1"/>
    <col min="5634" max="5634" width="22.140625" style="26" customWidth="1"/>
    <col min="5635" max="5635" width="17.85546875" style="26" customWidth="1"/>
    <col min="5636" max="5636" width="22.42578125" style="26" customWidth="1"/>
    <col min="5637" max="5637" width="10.140625" style="26" bestFit="1" customWidth="1"/>
    <col min="5638" max="5638" width="13.42578125" style="26" customWidth="1"/>
    <col min="5639" max="5639" width="7.42578125" style="26" bestFit="1" customWidth="1"/>
    <col min="5640" max="5640" width="15.42578125" style="26" bestFit="1" customWidth="1"/>
    <col min="5641" max="5641" width="7.42578125" style="26" bestFit="1" customWidth="1"/>
    <col min="5642" max="5642" width="19.5703125" style="26" bestFit="1" customWidth="1"/>
    <col min="5643" max="5643" width="7.42578125" style="26" bestFit="1" customWidth="1"/>
    <col min="5644" max="5644" width="26.85546875" style="26" bestFit="1" customWidth="1"/>
    <col min="5645" max="5645" width="19.85546875" style="26" bestFit="1" customWidth="1"/>
    <col min="5646" max="5880" width="11.42578125" style="26"/>
    <col min="5881" max="5881" width="2.42578125" style="26" customWidth="1"/>
    <col min="5882" max="5882" width="49" style="26" customWidth="1"/>
    <col min="5883" max="5883" width="16.85546875" style="26" customWidth="1"/>
    <col min="5884" max="5884" width="1.140625" style="26" customWidth="1"/>
    <col min="5885" max="5885" width="20.5703125" style="26" customWidth="1"/>
    <col min="5886" max="5886" width="17.5703125" style="26" customWidth="1"/>
    <col min="5887" max="5887" width="18.140625" style="26" customWidth="1"/>
    <col min="5888" max="5888" width="17.140625" style="26" customWidth="1"/>
    <col min="5889" max="5889" width="22.42578125" style="26" bestFit="1" customWidth="1"/>
    <col min="5890" max="5890" width="22.140625" style="26" customWidth="1"/>
    <col min="5891" max="5891" width="17.85546875" style="26" customWidth="1"/>
    <col min="5892" max="5892" width="22.42578125" style="26" customWidth="1"/>
    <col min="5893" max="5893" width="10.140625" style="26" bestFit="1" customWidth="1"/>
    <col min="5894" max="5894" width="13.42578125" style="26" customWidth="1"/>
    <col min="5895" max="5895" width="7.42578125" style="26" bestFit="1" customWidth="1"/>
    <col min="5896" max="5896" width="15.42578125" style="26" bestFit="1" customWidth="1"/>
    <col min="5897" max="5897" width="7.42578125" style="26" bestFit="1" customWidth="1"/>
    <col min="5898" max="5898" width="19.5703125" style="26" bestFit="1" customWidth="1"/>
    <col min="5899" max="5899" width="7.42578125" style="26" bestFit="1" customWidth="1"/>
    <col min="5900" max="5900" width="26.85546875" style="26" bestFit="1" customWidth="1"/>
    <col min="5901" max="5901" width="19.85546875" style="26" bestFit="1" customWidth="1"/>
    <col min="5902" max="6136" width="11.42578125" style="26"/>
    <col min="6137" max="6137" width="2.42578125" style="26" customWidth="1"/>
    <col min="6138" max="6138" width="49" style="26" customWidth="1"/>
    <col min="6139" max="6139" width="16.85546875" style="26" customWidth="1"/>
    <col min="6140" max="6140" width="1.140625" style="26" customWidth="1"/>
    <col min="6141" max="6141" width="20.5703125" style="26" customWidth="1"/>
    <col min="6142" max="6142" width="17.5703125" style="26" customWidth="1"/>
    <col min="6143" max="6143" width="18.140625" style="26" customWidth="1"/>
    <col min="6144" max="6144" width="17.140625" style="26" customWidth="1"/>
    <col min="6145" max="6145" width="22.42578125" style="26" bestFit="1" customWidth="1"/>
    <col min="6146" max="6146" width="22.140625" style="26" customWidth="1"/>
    <col min="6147" max="6147" width="17.85546875" style="26" customWidth="1"/>
    <col min="6148" max="6148" width="22.42578125" style="26" customWidth="1"/>
    <col min="6149" max="6149" width="10.140625" style="26" bestFit="1" customWidth="1"/>
    <col min="6150" max="6150" width="13.42578125" style="26" customWidth="1"/>
    <col min="6151" max="6151" width="7.42578125" style="26" bestFit="1" customWidth="1"/>
    <col min="6152" max="6152" width="15.42578125" style="26" bestFit="1" customWidth="1"/>
    <col min="6153" max="6153" width="7.42578125" style="26" bestFit="1" customWidth="1"/>
    <col min="6154" max="6154" width="19.5703125" style="26" bestFit="1" customWidth="1"/>
    <col min="6155" max="6155" width="7.42578125" style="26" bestFit="1" customWidth="1"/>
    <col min="6156" max="6156" width="26.85546875" style="26" bestFit="1" customWidth="1"/>
    <col min="6157" max="6157" width="19.85546875" style="26" bestFit="1" customWidth="1"/>
    <col min="6158" max="6392" width="11.42578125" style="26"/>
    <col min="6393" max="6393" width="2.42578125" style="26" customWidth="1"/>
    <col min="6394" max="6394" width="49" style="26" customWidth="1"/>
    <col min="6395" max="6395" width="16.85546875" style="26" customWidth="1"/>
    <col min="6396" max="6396" width="1.140625" style="26" customWidth="1"/>
    <col min="6397" max="6397" width="20.5703125" style="26" customWidth="1"/>
    <col min="6398" max="6398" width="17.5703125" style="26" customWidth="1"/>
    <col min="6399" max="6399" width="18.140625" style="26" customWidth="1"/>
    <col min="6400" max="6400" width="17.140625" style="26" customWidth="1"/>
    <col min="6401" max="6401" width="22.42578125" style="26" bestFit="1" customWidth="1"/>
    <col min="6402" max="6402" width="22.140625" style="26" customWidth="1"/>
    <col min="6403" max="6403" width="17.85546875" style="26" customWidth="1"/>
    <col min="6404" max="6404" width="22.42578125" style="26" customWidth="1"/>
    <col min="6405" max="6405" width="10.140625" style="26" bestFit="1" customWidth="1"/>
    <col min="6406" max="6406" width="13.42578125" style="26" customWidth="1"/>
    <col min="6407" max="6407" width="7.42578125" style="26" bestFit="1" customWidth="1"/>
    <col min="6408" max="6408" width="15.42578125" style="26" bestFit="1" customWidth="1"/>
    <col min="6409" max="6409" width="7.42578125" style="26" bestFit="1" customWidth="1"/>
    <col min="6410" max="6410" width="19.5703125" style="26" bestFit="1" customWidth="1"/>
    <col min="6411" max="6411" width="7.42578125" style="26" bestFit="1" customWidth="1"/>
    <col min="6412" max="6412" width="26.85546875" style="26" bestFit="1" customWidth="1"/>
    <col min="6413" max="6413" width="19.85546875" style="26" bestFit="1" customWidth="1"/>
    <col min="6414" max="6648" width="11.42578125" style="26"/>
    <col min="6649" max="6649" width="2.42578125" style="26" customWidth="1"/>
    <col min="6650" max="6650" width="49" style="26" customWidth="1"/>
    <col min="6651" max="6651" width="16.85546875" style="26" customWidth="1"/>
    <col min="6652" max="6652" width="1.140625" style="26" customWidth="1"/>
    <col min="6653" max="6653" width="20.5703125" style="26" customWidth="1"/>
    <col min="6654" max="6654" width="17.5703125" style="26" customWidth="1"/>
    <col min="6655" max="6655" width="18.140625" style="26" customWidth="1"/>
    <col min="6656" max="6656" width="17.140625" style="26" customWidth="1"/>
    <col min="6657" max="6657" width="22.42578125" style="26" bestFit="1" customWidth="1"/>
    <col min="6658" max="6658" width="22.140625" style="26" customWidth="1"/>
    <col min="6659" max="6659" width="17.85546875" style="26" customWidth="1"/>
    <col min="6660" max="6660" width="22.42578125" style="26" customWidth="1"/>
    <col min="6661" max="6661" width="10.140625" style="26" bestFit="1" customWidth="1"/>
    <col min="6662" max="6662" width="13.42578125" style="26" customWidth="1"/>
    <col min="6663" max="6663" width="7.42578125" style="26" bestFit="1" customWidth="1"/>
    <col min="6664" max="6664" width="15.42578125" style="26" bestFit="1" customWidth="1"/>
    <col min="6665" max="6665" width="7.42578125" style="26" bestFit="1" customWidth="1"/>
    <col min="6666" max="6666" width="19.5703125" style="26" bestFit="1" customWidth="1"/>
    <col min="6667" max="6667" width="7.42578125" style="26" bestFit="1" customWidth="1"/>
    <col min="6668" max="6668" width="26.85546875" style="26" bestFit="1" customWidth="1"/>
    <col min="6669" max="6669" width="19.85546875" style="26" bestFit="1" customWidth="1"/>
    <col min="6670" max="6904" width="11.42578125" style="26"/>
    <col min="6905" max="6905" width="2.42578125" style="26" customWidth="1"/>
    <col min="6906" max="6906" width="49" style="26" customWidth="1"/>
    <col min="6907" max="6907" width="16.85546875" style="26" customWidth="1"/>
    <col min="6908" max="6908" width="1.140625" style="26" customWidth="1"/>
    <col min="6909" max="6909" width="20.5703125" style="26" customWidth="1"/>
    <col min="6910" max="6910" width="17.5703125" style="26" customWidth="1"/>
    <col min="6911" max="6911" width="18.140625" style="26" customWidth="1"/>
    <col min="6912" max="6912" width="17.140625" style="26" customWidth="1"/>
    <col min="6913" max="6913" width="22.42578125" style="26" bestFit="1" customWidth="1"/>
    <col min="6914" max="6914" width="22.140625" style="26" customWidth="1"/>
    <col min="6915" max="6915" width="17.85546875" style="26" customWidth="1"/>
    <col min="6916" max="6916" width="22.42578125" style="26" customWidth="1"/>
    <col min="6917" max="6917" width="10.140625" style="26" bestFit="1" customWidth="1"/>
    <col min="6918" max="6918" width="13.42578125" style="26" customWidth="1"/>
    <col min="6919" max="6919" width="7.42578125" style="26" bestFit="1" customWidth="1"/>
    <col min="6920" max="6920" width="15.42578125" style="26" bestFit="1" customWidth="1"/>
    <col min="6921" max="6921" width="7.42578125" style="26" bestFit="1" customWidth="1"/>
    <col min="6922" max="6922" width="19.5703125" style="26" bestFit="1" customWidth="1"/>
    <col min="6923" max="6923" width="7.42578125" style="26" bestFit="1" customWidth="1"/>
    <col min="6924" max="6924" width="26.85546875" style="26" bestFit="1" customWidth="1"/>
    <col min="6925" max="6925" width="19.85546875" style="26" bestFit="1" customWidth="1"/>
    <col min="6926" max="7160" width="11.42578125" style="26"/>
    <col min="7161" max="7161" width="2.42578125" style="26" customWidth="1"/>
    <col min="7162" max="7162" width="49" style="26" customWidth="1"/>
    <col min="7163" max="7163" width="16.85546875" style="26" customWidth="1"/>
    <col min="7164" max="7164" width="1.140625" style="26" customWidth="1"/>
    <col min="7165" max="7165" width="20.5703125" style="26" customWidth="1"/>
    <col min="7166" max="7166" width="17.5703125" style="26" customWidth="1"/>
    <col min="7167" max="7167" width="18.140625" style="26" customWidth="1"/>
    <col min="7168" max="7168" width="17.140625" style="26" customWidth="1"/>
    <col min="7169" max="7169" width="22.42578125" style="26" bestFit="1" customWidth="1"/>
    <col min="7170" max="7170" width="22.140625" style="26" customWidth="1"/>
    <col min="7171" max="7171" width="17.85546875" style="26" customWidth="1"/>
    <col min="7172" max="7172" width="22.42578125" style="26" customWidth="1"/>
    <col min="7173" max="7173" width="10.140625" style="26" bestFit="1" customWidth="1"/>
    <col min="7174" max="7174" width="13.42578125" style="26" customWidth="1"/>
    <col min="7175" max="7175" width="7.42578125" style="26" bestFit="1" customWidth="1"/>
    <col min="7176" max="7176" width="15.42578125" style="26" bestFit="1" customWidth="1"/>
    <col min="7177" max="7177" width="7.42578125" style="26" bestFit="1" customWidth="1"/>
    <col min="7178" max="7178" width="19.5703125" style="26" bestFit="1" customWidth="1"/>
    <col min="7179" max="7179" width="7.42578125" style="26" bestFit="1" customWidth="1"/>
    <col min="7180" max="7180" width="26.85546875" style="26" bestFit="1" customWidth="1"/>
    <col min="7181" max="7181" width="19.85546875" style="26" bestFit="1" customWidth="1"/>
    <col min="7182" max="7416" width="11.42578125" style="26"/>
    <col min="7417" max="7417" width="2.42578125" style="26" customWidth="1"/>
    <col min="7418" max="7418" width="49" style="26" customWidth="1"/>
    <col min="7419" max="7419" width="16.85546875" style="26" customWidth="1"/>
    <col min="7420" max="7420" width="1.140625" style="26" customWidth="1"/>
    <col min="7421" max="7421" width="20.5703125" style="26" customWidth="1"/>
    <col min="7422" max="7422" width="17.5703125" style="26" customWidth="1"/>
    <col min="7423" max="7423" width="18.140625" style="26" customWidth="1"/>
    <col min="7424" max="7424" width="17.140625" style="26" customWidth="1"/>
    <col min="7425" max="7425" width="22.42578125" style="26" bestFit="1" customWidth="1"/>
    <col min="7426" max="7426" width="22.140625" style="26" customWidth="1"/>
    <col min="7427" max="7427" width="17.85546875" style="26" customWidth="1"/>
    <col min="7428" max="7428" width="22.42578125" style="26" customWidth="1"/>
    <col min="7429" max="7429" width="10.140625" style="26" bestFit="1" customWidth="1"/>
    <col min="7430" max="7430" width="13.42578125" style="26" customWidth="1"/>
    <col min="7431" max="7431" width="7.42578125" style="26" bestFit="1" customWidth="1"/>
    <col min="7432" max="7432" width="15.42578125" style="26" bestFit="1" customWidth="1"/>
    <col min="7433" max="7433" width="7.42578125" style="26" bestFit="1" customWidth="1"/>
    <col min="7434" max="7434" width="19.5703125" style="26" bestFit="1" customWidth="1"/>
    <col min="7435" max="7435" width="7.42578125" style="26" bestFit="1" customWidth="1"/>
    <col min="7436" max="7436" width="26.85546875" style="26" bestFit="1" customWidth="1"/>
    <col min="7437" max="7437" width="19.85546875" style="26" bestFit="1" customWidth="1"/>
    <col min="7438" max="7672" width="11.42578125" style="26"/>
    <col min="7673" max="7673" width="2.42578125" style="26" customWidth="1"/>
    <col min="7674" max="7674" width="49" style="26" customWidth="1"/>
    <col min="7675" max="7675" width="16.85546875" style="26" customWidth="1"/>
    <col min="7676" max="7676" width="1.140625" style="26" customWidth="1"/>
    <col min="7677" max="7677" width="20.5703125" style="26" customWidth="1"/>
    <col min="7678" max="7678" width="17.5703125" style="26" customWidth="1"/>
    <col min="7679" max="7679" width="18.140625" style="26" customWidth="1"/>
    <col min="7680" max="7680" width="17.140625" style="26" customWidth="1"/>
    <col min="7681" max="7681" width="22.42578125" style="26" bestFit="1" customWidth="1"/>
    <col min="7682" max="7682" width="22.140625" style="26" customWidth="1"/>
    <col min="7683" max="7683" width="17.85546875" style="26" customWidth="1"/>
    <col min="7684" max="7684" width="22.42578125" style="26" customWidth="1"/>
    <col min="7685" max="7685" width="10.140625" style="26" bestFit="1" customWidth="1"/>
    <col min="7686" max="7686" width="13.42578125" style="26" customWidth="1"/>
    <col min="7687" max="7687" width="7.42578125" style="26" bestFit="1" customWidth="1"/>
    <col min="7688" max="7688" width="15.42578125" style="26" bestFit="1" customWidth="1"/>
    <col min="7689" max="7689" width="7.42578125" style="26" bestFit="1" customWidth="1"/>
    <col min="7690" max="7690" width="19.5703125" style="26" bestFit="1" customWidth="1"/>
    <col min="7691" max="7691" width="7.42578125" style="26" bestFit="1" customWidth="1"/>
    <col min="7692" max="7692" width="26.85546875" style="26" bestFit="1" customWidth="1"/>
    <col min="7693" max="7693" width="19.85546875" style="26" bestFit="1" customWidth="1"/>
    <col min="7694" max="7928" width="11.42578125" style="26"/>
    <col min="7929" max="7929" width="2.42578125" style="26" customWidth="1"/>
    <col min="7930" max="7930" width="49" style="26" customWidth="1"/>
    <col min="7931" max="7931" width="16.85546875" style="26" customWidth="1"/>
    <col min="7932" max="7932" width="1.140625" style="26" customWidth="1"/>
    <col min="7933" max="7933" width="20.5703125" style="26" customWidth="1"/>
    <col min="7934" max="7934" width="17.5703125" style="26" customWidth="1"/>
    <col min="7935" max="7935" width="18.140625" style="26" customWidth="1"/>
    <col min="7936" max="7936" width="17.140625" style="26" customWidth="1"/>
    <col min="7937" max="7937" width="22.42578125" style="26" bestFit="1" customWidth="1"/>
    <col min="7938" max="7938" width="22.140625" style="26" customWidth="1"/>
    <col min="7939" max="7939" width="17.85546875" style="26" customWidth="1"/>
    <col min="7940" max="7940" width="22.42578125" style="26" customWidth="1"/>
    <col min="7941" max="7941" width="10.140625" style="26" bestFit="1" customWidth="1"/>
    <col min="7942" max="7942" width="13.42578125" style="26" customWidth="1"/>
    <col min="7943" max="7943" width="7.42578125" style="26" bestFit="1" customWidth="1"/>
    <col min="7944" max="7944" width="15.42578125" style="26" bestFit="1" customWidth="1"/>
    <col min="7945" max="7945" width="7.42578125" style="26" bestFit="1" customWidth="1"/>
    <col min="7946" max="7946" width="19.5703125" style="26" bestFit="1" customWidth="1"/>
    <col min="7947" max="7947" width="7.42578125" style="26" bestFit="1" customWidth="1"/>
    <col min="7948" max="7948" width="26.85546875" style="26" bestFit="1" customWidth="1"/>
    <col min="7949" max="7949" width="19.85546875" style="26" bestFit="1" customWidth="1"/>
    <col min="7950" max="8184" width="11.42578125" style="26"/>
    <col min="8185" max="8185" width="2.42578125" style="26" customWidth="1"/>
    <col min="8186" max="8186" width="49" style="26" customWidth="1"/>
    <col min="8187" max="8187" width="16.85546875" style="26" customWidth="1"/>
    <col min="8188" max="8188" width="1.140625" style="26" customWidth="1"/>
    <col min="8189" max="8189" width="20.5703125" style="26" customWidth="1"/>
    <col min="8190" max="8190" width="17.5703125" style="26" customWidth="1"/>
    <col min="8191" max="8191" width="18.140625" style="26" customWidth="1"/>
    <col min="8192" max="8192" width="17.140625" style="26" customWidth="1"/>
    <col min="8193" max="8193" width="22.42578125" style="26" bestFit="1" customWidth="1"/>
    <col min="8194" max="8194" width="22.140625" style="26" customWidth="1"/>
    <col min="8195" max="8195" width="17.85546875" style="26" customWidth="1"/>
    <col min="8196" max="8196" width="22.42578125" style="26" customWidth="1"/>
    <col min="8197" max="8197" width="10.140625" style="26" bestFit="1" customWidth="1"/>
    <col min="8198" max="8198" width="13.42578125" style="26" customWidth="1"/>
    <col min="8199" max="8199" width="7.42578125" style="26" bestFit="1" customWidth="1"/>
    <col min="8200" max="8200" width="15.42578125" style="26" bestFit="1" customWidth="1"/>
    <col min="8201" max="8201" width="7.42578125" style="26" bestFit="1" customWidth="1"/>
    <col min="8202" max="8202" width="19.5703125" style="26" bestFit="1" customWidth="1"/>
    <col min="8203" max="8203" width="7.42578125" style="26" bestFit="1" customWidth="1"/>
    <col min="8204" max="8204" width="26.85546875" style="26" bestFit="1" customWidth="1"/>
    <col min="8205" max="8205" width="19.85546875" style="26" bestFit="1" customWidth="1"/>
    <col min="8206" max="8440" width="11.42578125" style="26"/>
    <col min="8441" max="8441" width="2.42578125" style="26" customWidth="1"/>
    <col min="8442" max="8442" width="49" style="26" customWidth="1"/>
    <col min="8443" max="8443" width="16.85546875" style="26" customWidth="1"/>
    <col min="8444" max="8444" width="1.140625" style="26" customWidth="1"/>
    <col min="8445" max="8445" width="20.5703125" style="26" customWidth="1"/>
    <col min="8446" max="8446" width="17.5703125" style="26" customWidth="1"/>
    <col min="8447" max="8447" width="18.140625" style="26" customWidth="1"/>
    <col min="8448" max="8448" width="17.140625" style="26" customWidth="1"/>
    <col min="8449" max="8449" width="22.42578125" style="26" bestFit="1" customWidth="1"/>
    <col min="8450" max="8450" width="22.140625" style="26" customWidth="1"/>
    <col min="8451" max="8451" width="17.85546875" style="26" customWidth="1"/>
    <col min="8452" max="8452" width="22.42578125" style="26" customWidth="1"/>
    <col min="8453" max="8453" width="10.140625" style="26" bestFit="1" customWidth="1"/>
    <col min="8454" max="8454" width="13.42578125" style="26" customWidth="1"/>
    <col min="8455" max="8455" width="7.42578125" style="26" bestFit="1" customWidth="1"/>
    <col min="8456" max="8456" width="15.42578125" style="26" bestFit="1" customWidth="1"/>
    <col min="8457" max="8457" width="7.42578125" style="26" bestFit="1" customWidth="1"/>
    <col min="8458" max="8458" width="19.5703125" style="26" bestFit="1" customWidth="1"/>
    <col min="8459" max="8459" width="7.42578125" style="26" bestFit="1" customWidth="1"/>
    <col min="8460" max="8460" width="26.85546875" style="26" bestFit="1" customWidth="1"/>
    <col min="8461" max="8461" width="19.85546875" style="26" bestFit="1" customWidth="1"/>
    <col min="8462" max="8696" width="11.42578125" style="26"/>
    <col min="8697" max="8697" width="2.42578125" style="26" customWidth="1"/>
    <col min="8698" max="8698" width="49" style="26" customWidth="1"/>
    <col min="8699" max="8699" width="16.85546875" style="26" customWidth="1"/>
    <col min="8700" max="8700" width="1.140625" style="26" customWidth="1"/>
    <col min="8701" max="8701" width="20.5703125" style="26" customWidth="1"/>
    <col min="8702" max="8702" width="17.5703125" style="26" customWidth="1"/>
    <col min="8703" max="8703" width="18.140625" style="26" customWidth="1"/>
    <col min="8704" max="8704" width="17.140625" style="26" customWidth="1"/>
    <col min="8705" max="8705" width="22.42578125" style="26" bestFit="1" customWidth="1"/>
    <col min="8706" max="8706" width="22.140625" style="26" customWidth="1"/>
    <col min="8707" max="8707" width="17.85546875" style="26" customWidth="1"/>
    <col min="8708" max="8708" width="22.42578125" style="26" customWidth="1"/>
    <col min="8709" max="8709" width="10.140625" style="26" bestFit="1" customWidth="1"/>
    <col min="8710" max="8710" width="13.42578125" style="26" customWidth="1"/>
    <col min="8711" max="8711" width="7.42578125" style="26" bestFit="1" customWidth="1"/>
    <col min="8712" max="8712" width="15.42578125" style="26" bestFit="1" customWidth="1"/>
    <col min="8713" max="8713" width="7.42578125" style="26" bestFit="1" customWidth="1"/>
    <col min="8714" max="8714" width="19.5703125" style="26" bestFit="1" customWidth="1"/>
    <col min="8715" max="8715" width="7.42578125" style="26" bestFit="1" customWidth="1"/>
    <col min="8716" max="8716" width="26.85546875" style="26" bestFit="1" customWidth="1"/>
    <col min="8717" max="8717" width="19.85546875" style="26" bestFit="1" customWidth="1"/>
    <col min="8718" max="8952" width="11.42578125" style="26"/>
    <col min="8953" max="8953" width="2.42578125" style="26" customWidth="1"/>
    <col min="8954" max="8954" width="49" style="26" customWidth="1"/>
    <col min="8955" max="8955" width="16.85546875" style="26" customWidth="1"/>
    <col min="8956" max="8956" width="1.140625" style="26" customWidth="1"/>
    <col min="8957" max="8957" width="20.5703125" style="26" customWidth="1"/>
    <col min="8958" max="8958" width="17.5703125" style="26" customWidth="1"/>
    <col min="8959" max="8959" width="18.140625" style="26" customWidth="1"/>
    <col min="8960" max="8960" width="17.140625" style="26" customWidth="1"/>
    <col min="8961" max="8961" width="22.42578125" style="26" bestFit="1" customWidth="1"/>
    <col min="8962" max="8962" width="22.140625" style="26" customWidth="1"/>
    <col min="8963" max="8963" width="17.85546875" style="26" customWidth="1"/>
    <col min="8964" max="8964" width="22.42578125" style="26" customWidth="1"/>
    <col min="8965" max="8965" width="10.140625" style="26" bestFit="1" customWidth="1"/>
    <col min="8966" max="8966" width="13.42578125" style="26" customWidth="1"/>
    <col min="8967" max="8967" width="7.42578125" style="26" bestFit="1" customWidth="1"/>
    <col min="8968" max="8968" width="15.42578125" style="26" bestFit="1" customWidth="1"/>
    <col min="8969" max="8969" width="7.42578125" style="26" bestFit="1" customWidth="1"/>
    <col min="8970" max="8970" width="19.5703125" style="26" bestFit="1" customWidth="1"/>
    <col min="8971" max="8971" width="7.42578125" style="26" bestFit="1" customWidth="1"/>
    <col min="8972" max="8972" width="26.85546875" style="26" bestFit="1" customWidth="1"/>
    <col min="8973" max="8973" width="19.85546875" style="26" bestFit="1" customWidth="1"/>
    <col min="8974" max="9208" width="11.42578125" style="26"/>
    <col min="9209" max="9209" width="2.42578125" style="26" customWidth="1"/>
    <col min="9210" max="9210" width="49" style="26" customWidth="1"/>
    <col min="9211" max="9211" width="16.85546875" style="26" customWidth="1"/>
    <col min="9212" max="9212" width="1.140625" style="26" customWidth="1"/>
    <col min="9213" max="9213" width="20.5703125" style="26" customWidth="1"/>
    <col min="9214" max="9214" width="17.5703125" style="26" customWidth="1"/>
    <col min="9215" max="9215" width="18.140625" style="26" customWidth="1"/>
    <col min="9216" max="9216" width="17.140625" style="26" customWidth="1"/>
    <col min="9217" max="9217" width="22.42578125" style="26" bestFit="1" customWidth="1"/>
    <col min="9218" max="9218" width="22.140625" style="26" customWidth="1"/>
    <col min="9219" max="9219" width="17.85546875" style="26" customWidth="1"/>
    <col min="9220" max="9220" width="22.42578125" style="26" customWidth="1"/>
    <col min="9221" max="9221" width="10.140625" style="26" bestFit="1" customWidth="1"/>
    <col min="9222" max="9222" width="13.42578125" style="26" customWidth="1"/>
    <col min="9223" max="9223" width="7.42578125" style="26" bestFit="1" customWidth="1"/>
    <col min="9224" max="9224" width="15.42578125" style="26" bestFit="1" customWidth="1"/>
    <col min="9225" max="9225" width="7.42578125" style="26" bestFit="1" customWidth="1"/>
    <col min="9226" max="9226" width="19.5703125" style="26" bestFit="1" customWidth="1"/>
    <col min="9227" max="9227" width="7.42578125" style="26" bestFit="1" customWidth="1"/>
    <col min="9228" max="9228" width="26.85546875" style="26" bestFit="1" customWidth="1"/>
    <col min="9229" max="9229" width="19.85546875" style="26" bestFit="1" customWidth="1"/>
    <col min="9230" max="9464" width="11.42578125" style="26"/>
    <col min="9465" max="9465" width="2.42578125" style="26" customWidth="1"/>
    <col min="9466" max="9466" width="49" style="26" customWidth="1"/>
    <col min="9467" max="9467" width="16.85546875" style="26" customWidth="1"/>
    <col min="9468" max="9468" width="1.140625" style="26" customWidth="1"/>
    <col min="9469" max="9469" width="20.5703125" style="26" customWidth="1"/>
    <col min="9470" max="9470" width="17.5703125" style="26" customWidth="1"/>
    <col min="9471" max="9471" width="18.140625" style="26" customWidth="1"/>
    <col min="9472" max="9472" width="17.140625" style="26" customWidth="1"/>
    <col min="9473" max="9473" width="22.42578125" style="26" bestFit="1" customWidth="1"/>
    <col min="9474" max="9474" width="22.140625" style="26" customWidth="1"/>
    <col min="9475" max="9475" width="17.85546875" style="26" customWidth="1"/>
    <col min="9476" max="9476" width="22.42578125" style="26" customWidth="1"/>
    <col min="9477" max="9477" width="10.140625" style="26" bestFit="1" customWidth="1"/>
    <col min="9478" max="9478" width="13.42578125" style="26" customWidth="1"/>
    <col min="9479" max="9479" width="7.42578125" style="26" bestFit="1" customWidth="1"/>
    <col min="9480" max="9480" width="15.42578125" style="26" bestFit="1" customWidth="1"/>
    <col min="9481" max="9481" width="7.42578125" style="26" bestFit="1" customWidth="1"/>
    <col min="9482" max="9482" width="19.5703125" style="26" bestFit="1" customWidth="1"/>
    <col min="9483" max="9483" width="7.42578125" style="26" bestFit="1" customWidth="1"/>
    <col min="9484" max="9484" width="26.85546875" style="26" bestFit="1" customWidth="1"/>
    <col min="9485" max="9485" width="19.85546875" style="26" bestFit="1" customWidth="1"/>
    <col min="9486" max="9720" width="11.42578125" style="26"/>
    <col min="9721" max="9721" width="2.42578125" style="26" customWidth="1"/>
    <col min="9722" max="9722" width="49" style="26" customWidth="1"/>
    <col min="9723" max="9723" width="16.85546875" style="26" customWidth="1"/>
    <col min="9724" max="9724" width="1.140625" style="26" customWidth="1"/>
    <col min="9725" max="9725" width="20.5703125" style="26" customWidth="1"/>
    <col min="9726" max="9726" width="17.5703125" style="26" customWidth="1"/>
    <col min="9727" max="9727" width="18.140625" style="26" customWidth="1"/>
    <col min="9728" max="9728" width="17.140625" style="26" customWidth="1"/>
    <col min="9729" max="9729" width="22.42578125" style="26" bestFit="1" customWidth="1"/>
    <col min="9730" max="9730" width="22.140625" style="26" customWidth="1"/>
    <col min="9731" max="9731" width="17.85546875" style="26" customWidth="1"/>
    <col min="9732" max="9732" width="22.42578125" style="26" customWidth="1"/>
    <col min="9733" max="9733" width="10.140625" style="26" bestFit="1" customWidth="1"/>
    <col min="9734" max="9734" width="13.42578125" style="26" customWidth="1"/>
    <col min="9735" max="9735" width="7.42578125" style="26" bestFit="1" customWidth="1"/>
    <col min="9736" max="9736" width="15.42578125" style="26" bestFit="1" customWidth="1"/>
    <col min="9737" max="9737" width="7.42578125" style="26" bestFit="1" customWidth="1"/>
    <col min="9738" max="9738" width="19.5703125" style="26" bestFit="1" customWidth="1"/>
    <col min="9739" max="9739" width="7.42578125" style="26" bestFit="1" customWidth="1"/>
    <col min="9740" max="9740" width="26.85546875" style="26" bestFit="1" customWidth="1"/>
    <col min="9741" max="9741" width="19.85546875" style="26" bestFit="1" customWidth="1"/>
    <col min="9742" max="9976" width="11.42578125" style="26"/>
    <col min="9977" max="9977" width="2.42578125" style="26" customWidth="1"/>
    <col min="9978" max="9978" width="49" style="26" customWidth="1"/>
    <col min="9979" max="9979" width="16.85546875" style="26" customWidth="1"/>
    <col min="9980" max="9980" width="1.140625" style="26" customWidth="1"/>
    <col min="9981" max="9981" width="20.5703125" style="26" customWidth="1"/>
    <col min="9982" max="9982" width="17.5703125" style="26" customWidth="1"/>
    <col min="9983" max="9983" width="18.140625" style="26" customWidth="1"/>
    <col min="9984" max="9984" width="17.140625" style="26" customWidth="1"/>
    <col min="9985" max="9985" width="22.42578125" style="26" bestFit="1" customWidth="1"/>
    <col min="9986" max="9986" width="22.140625" style="26" customWidth="1"/>
    <col min="9987" max="9987" width="17.85546875" style="26" customWidth="1"/>
    <col min="9988" max="9988" width="22.42578125" style="26" customWidth="1"/>
    <col min="9989" max="9989" width="10.140625" style="26" bestFit="1" customWidth="1"/>
    <col min="9990" max="9990" width="13.42578125" style="26" customWidth="1"/>
    <col min="9991" max="9991" width="7.42578125" style="26" bestFit="1" customWidth="1"/>
    <col min="9992" max="9992" width="15.42578125" style="26" bestFit="1" customWidth="1"/>
    <col min="9993" max="9993" width="7.42578125" style="26" bestFit="1" customWidth="1"/>
    <col min="9994" max="9994" width="19.5703125" style="26" bestFit="1" customWidth="1"/>
    <col min="9995" max="9995" width="7.42578125" style="26" bestFit="1" customWidth="1"/>
    <col min="9996" max="9996" width="26.85546875" style="26" bestFit="1" customWidth="1"/>
    <col min="9997" max="9997" width="19.85546875" style="26" bestFit="1" customWidth="1"/>
    <col min="9998" max="10232" width="11.42578125" style="26"/>
    <col min="10233" max="10233" width="2.42578125" style="26" customWidth="1"/>
    <col min="10234" max="10234" width="49" style="26" customWidth="1"/>
    <col min="10235" max="10235" width="16.85546875" style="26" customWidth="1"/>
    <col min="10236" max="10236" width="1.140625" style="26" customWidth="1"/>
    <col min="10237" max="10237" width="20.5703125" style="26" customWidth="1"/>
    <col min="10238" max="10238" width="17.5703125" style="26" customWidth="1"/>
    <col min="10239" max="10239" width="18.140625" style="26" customWidth="1"/>
    <col min="10240" max="10240" width="17.140625" style="26" customWidth="1"/>
    <col min="10241" max="10241" width="22.42578125" style="26" bestFit="1" customWidth="1"/>
    <col min="10242" max="10242" width="22.140625" style="26" customWidth="1"/>
    <col min="10243" max="10243" width="17.85546875" style="26" customWidth="1"/>
    <col min="10244" max="10244" width="22.42578125" style="26" customWidth="1"/>
    <col min="10245" max="10245" width="10.140625" style="26" bestFit="1" customWidth="1"/>
    <col min="10246" max="10246" width="13.42578125" style="26" customWidth="1"/>
    <col min="10247" max="10247" width="7.42578125" style="26" bestFit="1" customWidth="1"/>
    <col min="10248" max="10248" width="15.42578125" style="26" bestFit="1" customWidth="1"/>
    <col min="10249" max="10249" width="7.42578125" style="26" bestFit="1" customWidth="1"/>
    <col min="10250" max="10250" width="19.5703125" style="26" bestFit="1" customWidth="1"/>
    <col min="10251" max="10251" width="7.42578125" style="26" bestFit="1" customWidth="1"/>
    <col min="10252" max="10252" width="26.85546875" style="26" bestFit="1" customWidth="1"/>
    <col min="10253" max="10253" width="19.85546875" style="26" bestFit="1" customWidth="1"/>
    <col min="10254" max="10488" width="11.42578125" style="26"/>
    <col min="10489" max="10489" width="2.42578125" style="26" customWidth="1"/>
    <col min="10490" max="10490" width="49" style="26" customWidth="1"/>
    <col min="10491" max="10491" width="16.85546875" style="26" customWidth="1"/>
    <col min="10492" max="10492" width="1.140625" style="26" customWidth="1"/>
    <col min="10493" max="10493" width="20.5703125" style="26" customWidth="1"/>
    <col min="10494" max="10494" width="17.5703125" style="26" customWidth="1"/>
    <col min="10495" max="10495" width="18.140625" style="26" customWidth="1"/>
    <col min="10496" max="10496" width="17.140625" style="26" customWidth="1"/>
    <col min="10497" max="10497" width="22.42578125" style="26" bestFit="1" customWidth="1"/>
    <col min="10498" max="10498" width="22.140625" style="26" customWidth="1"/>
    <col min="10499" max="10499" width="17.85546875" style="26" customWidth="1"/>
    <col min="10500" max="10500" width="22.42578125" style="26" customWidth="1"/>
    <col min="10501" max="10501" width="10.140625" style="26" bestFit="1" customWidth="1"/>
    <col min="10502" max="10502" width="13.42578125" style="26" customWidth="1"/>
    <col min="10503" max="10503" width="7.42578125" style="26" bestFit="1" customWidth="1"/>
    <col min="10504" max="10504" width="15.42578125" style="26" bestFit="1" customWidth="1"/>
    <col min="10505" max="10505" width="7.42578125" style="26" bestFit="1" customWidth="1"/>
    <col min="10506" max="10506" width="19.5703125" style="26" bestFit="1" customWidth="1"/>
    <col min="10507" max="10507" width="7.42578125" style="26" bestFit="1" customWidth="1"/>
    <col min="10508" max="10508" width="26.85546875" style="26" bestFit="1" customWidth="1"/>
    <col min="10509" max="10509" width="19.85546875" style="26" bestFit="1" customWidth="1"/>
    <col min="10510" max="10744" width="11.42578125" style="26"/>
    <col min="10745" max="10745" width="2.42578125" style="26" customWidth="1"/>
    <col min="10746" max="10746" width="49" style="26" customWidth="1"/>
    <col min="10747" max="10747" width="16.85546875" style="26" customWidth="1"/>
    <col min="10748" max="10748" width="1.140625" style="26" customWidth="1"/>
    <col min="10749" max="10749" width="20.5703125" style="26" customWidth="1"/>
    <col min="10750" max="10750" width="17.5703125" style="26" customWidth="1"/>
    <col min="10751" max="10751" width="18.140625" style="26" customWidth="1"/>
    <col min="10752" max="10752" width="17.140625" style="26" customWidth="1"/>
    <col min="10753" max="10753" width="22.42578125" style="26" bestFit="1" customWidth="1"/>
    <col min="10754" max="10754" width="22.140625" style="26" customWidth="1"/>
    <col min="10755" max="10755" width="17.85546875" style="26" customWidth="1"/>
    <col min="10756" max="10756" width="22.42578125" style="26" customWidth="1"/>
    <col min="10757" max="10757" width="10.140625" style="26" bestFit="1" customWidth="1"/>
    <col min="10758" max="10758" width="13.42578125" style="26" customWidth="1"/>
    <col min="10759" max="10759" width="7.42578125" style="26" bestFit="1" customWidth="1"/>
    <col min="10760" max="10760" width="15.42578125" style="26" bestFit="1" customWidth="1"/>
    <col min="10761" max="10761" width="7.42578125" style="26" bestFit="1" customWidth="1"/>
    <col min="10762" max="10762" width="19.5703125" style="26" bestFit="1" customWidth="1"/>
    <col min="10763" max="10763" width="7.42578125" style="26" bestFit="1" customWidth="1"/>
    <col min="10764" max="10764" width="26.85546875" style="26" bestFit="1" customWidth="1"/>
    <col min="10765" max="10765" width="19.85546875" style="26" bestFit="1" customWidth="1"/>
    <col min="10766" max="11000" width="11.42578125" style="26"/>
    <col min="11001" max="11001" width="2.42578125" style="26" customWidth="1"/>
    <col min="11002" max="11002" width="49" style="26" customWidth="1"/>
    <col min="11003" max="11003" width="16.85546875" style="26" customWidth="1"/>
    <col min="11004" max="11004" width="1.140625" style="26" customWidth="1"/>
    <col min="11005" max="11005" width="20.5703125" style="26" customWidth="1"/>
    <col min="11006" max="11006" width="17.5703125" style="26" customWidth="1"/>
    <col min="11007" max="11007" width="18.140625" style="26" customWidth="1"/>
    <col min="11008" max="11008" width="17.140625" style="26" customWidth="1"/>
    <col min="11009" max="11009" width="22.42578125" style="26" bestFit="1" customWidth="1"/>
    <col min="11010" max="11010" width="22.140625" style="26" customWidth="1"/>
    <col min="11011" max="11011" width="17.85546875" style="26" customWidth="1"/>
    <col min="11012" max="11012" width="22.42578125" style="26" customWidth="1"/>
    <col min="11013" max="11013" width="10.140625" style="26" bestFit="1" customWidth="1"/>
    <col min="11014" max="11014" width="13.42578125" style="26" customWidth="1"/>
    <col min="11015" max="11015" width="7.42578125" style="26" bestFit="1" customWidth="1"/>
    <col min="11016" max="11016" width="15.42578125" style="26" bestFit="1" customWidth="1"/>
    <col min="11017" max="11017" width="7.42578125" style="26" bestFit="1" customWidth="1"/>
    <col min="11018" max="11018" width="19.5703125" style="26" bestFit="1" customWidth="1"/>
    <col min="11019" max="11019" width="7.42578125" style="26" bestFit="1" customWidth="1"/>
    <col min="11020" max="11020" width="26.85546875" style="26" bestFit="1" customWidth="1"/>
    <col min="11021" max="11021" width="19.85546875" style="26" bestFit="1" customWidth="1"/>
    <col min="11022" max="11256" width="11.42578125" style="26"/>
    <col min="11257" max="11257" width="2.42578125" style="26" customWidth="1"/>
    <col min="11258" max="11258" width="49" style="26" customWidth="1"/>
    <col min="11259" max="11259" width="16.85546875" style="26" customWidth="1"/>
    <col min="11260" max="11260" width="1.140625" style="26" customWidth="1"/>
    <col min="11261" max="11261" width="20.5703125" style="26" customWidth="1"/>
    <col min="11262" max="11262" width="17.5703125" style="26" customWidth="1"/>
    <col min="11263" max="11263" width="18.140625" style="26" customWidth="1"/>
    <col min="11264" max="11264" width="17.140625" style="26" customWidth="1"/>
    <col min="11265" max="11265" width="22.42578125" style="26" bestFit="1" customWidth="1"/>
    <col min="11266" max="11266" width="22.140625" style="26" customWidth="1"/>
    <col min="11267" max="11267" width="17.85546875" style="26" customWidth="1"/>
    <col min="11268" max="11268" width="22.42578125" style="26" customWidth="1"/>
    <col min="11269" max="11269" width="10.140625" style="26" bestFit="1" customWidth="1"/>
    <col min="11270" max="11270" width="13.42578125" style="26" customWidth="1"/>
    <col min="11271" max="11271" width="7.42578125" style="26" bestFit="1" customWidth="1"/>
    <col min="11272" max="11272" width="15.42578125" style="26" bestFit="1" customWidth="1"/>
    <col min="11273" max="11273" width="7.42578125" style="26" bestFit="1" customWidth="1"/>
    <col min="11274" max="11274" width="19.5703125" style="26" bestFit="1" customWidth="1"/>
    <col min="11275" max="11275" width="7.42578125" style="26" bestFit="1" customWidth="1"/>
    <col min="11276" max="11276" width="26.85546875" style="26" bestFit="1" customWidth="1"/>
    <col min="11277" max="11277" width="19.85546875" style="26" bestFit="1" customWidth="1"/>
    <col min="11278" max="11512" width="11.42578125" style="26"/>
    <col min="11513" max="11513" width="2.42578125" style="26" customWidth="1"/>
    <col min="11514" max="11514" width="49" style="26" customWidth="1"/>
    <col min="11515" max="11515" width="16.85546875" style="26" customWidth="1"/>
    <col min="11516" max="11516" width="1.140625" style="26" customWidth="1"/>
    <col min="11517" max="11517" width="20.5703125" style="26" customWidth="1"/>
    <col min="11518" max="11518" width="17.5703125" style="26" customWidth="1"/>
    <col min="11519" max="11519" width="18.140625" style="26" customWidth="1"/>
    <col min="11520" max="11520" width="17.140625" style="26" customWidth="1"/>
    <col min="11521" max="11521" width="22.42578125" style="26" bestFit="1" customWidth="1"/>
    <col min="11522" max="11522" width="22.140625" style="26" customWidth="1"/>
    <col min="11523" max="11523" width="17.85546875" style="26" customWidth="1"/>
    <col min="11524" max="11524" width="22.42578125" style="26" customWidth="1"/>
    <col min="11525" max="11525" width="10.140625" style="26" bestFit="1" customWidth="1"/>
    <col min="11526" max="11526" width="13.42578125" style="26" customWidth="1"/>
    <col min="11527" max="11527" width="7.42578125" style="26" bestFit="1" customWidth="1"/>
    <col min="11528" max="11528" width="15.42578125" style="26" bestFit="1" customWidth="1"/>
    <col min="11529" max="11529" width="7.42578125" style="26" bestFit="1" customWidth="1"/>
    <col min="11530" max="11530" width="19.5703125" style="26" bestFit="1" customWidth="1"/>
    <col min="11531" max="11531" width="7.42578125" style="26" bestFit="1" customWidth="1"/>
    <col min="11532" max="11532" width="26.85546875" style="26" bestFit="1" customWidth="1"/>
    <col min="11533" max="11533" width="19.85546875" style="26" bestFit="1" customWidth="1"/>
    <col min="11534" max="11768" width="11.42578125" style="26"/>
    <col min="11769" max="11769" width="2.42578125" style="26" customWidth="1"/>
    <col min="11770" max="11770" width="49" style="26" customWidth="1"/>
    <col min="11771" max="11771" width="16.85546875" style="26" customWidth="1"/>
    <col min="11772" max="11772" width="1.140625" style="26" customWidth="1"/>
    <col min="11773" max="11773" width="20.5703125" style="26" customWidth="1"/>
    <col min="11774" max="11774" width="17.5703125" style="26" customWidth="1"/>
    <col min="11775" max="11775" width="18.140625" style="26" customWidth="1"/>
    <col min="11776" max="11776" width="17.140625" style="26" customWidth="1"/>
    <col min="11777" max="11777" width="22.42578125" style="26" bestFit="1" customWidth="1"/>
    <col min="11778" max="11778" width="22.140625" style="26" customWidth="1"/>
    <col min="11779" max="11779" width="17.85546875" style="26" customWidth="1"/>
    <col min="11780" max="11780" width="22.42578125" style="26" customWidth="1"/>
    <col min="11781" max="11781" width="10.140625" style="26" bestFit="1" customWidth="1"/>
    <col min="11782" max="11782" width="13.42578125" style="26" customWidth="1"/>
    <col min="11783" max="11783" width="7.42578125" style="26" bestFit="1" customWidth="1"/>
    <col min="11784" max="11784" width="15.42578125" style="26" bestFit="1" customWidth="1"/>
    <col min="11785" max="11785" width="7.42578125" style="26" bestFit="1" customWidth="1"/>
    <col min="11786" max="11786" width="19.5703125" style="26" bestFit="1" customWidth="1"/>
    <col min="11787" max="11787" width="7.42578125" style="26" bestFit="1" customWidth="1"/>
    <col min="11788" max="11788" width="26.85546875" style="26" bestFit="1" customWidth="1"/>
    <col min="11789" max="11789" width="19.85546875" style="26" bestFit="1" customWidth="1"/>
    <col min="11790" max="12024" width="11.42578125" style="26"/>
    <col min="12025" max="12025" width="2.42578125" style="26" customWidth="1"/>
    <col min="12026" max="12026" width="49" style="26" customWidth="1"/>
    <col min="12027" max="12027" width="16.85546875" style="26" customWidth="1"/>
    <col min="12028" max="12028" width="1.140625" style="26" customWidth="1"/>
    <col min="12029" max="12029" width="20.5703125" style="26" customWidth="1"/>
    <col min="12030" max="12030" width="17.5703125" style="26" customWidth="1"/>
    <col min="12031" max="12031" width="18.140625" style="26" customWidth="1"/>
    <col min="12032" max="12032" width="17.140625" style="26" customWidth="1"/>
    <col min="12033" max="12033" width="22.42578125" style="26" bestFit="1" customWidth="1"/>
    <col min="12034" max="12034" width="22.140625" style="26" customWidth="1"/>
    <col min="12035" max="12035" width="17.85546875" style="26" customWidth="1"/>
    <col min="12036" max="12036" width="22.42578125" style="26" customWidth="1"/>
    <col min="12037" max="12037" width="10.140625" style="26" bestFit="1" customWidth="1"/>
    <col min="12038" max="12038" width="13.42578125" style="26" customWidth="1"/>
    <col min="12039" max="12039" width="7.42578125" style="26" bestFit="1" customWidth="1"/>
    <col min="12040" max="12040" width="15.42578125" style="26" bestFit="1" customWidth="1"/>
    <col min="12041" max="12041" width="7.42578125" style="26" bestFit="1" customWidth="1"/>
    <col min="12042" max="12042" width="19.5703125" style="26" bestFit="1" customWidth="1"/>
    <col min="12043" max="12043" width="7.42578125" style="26" bestFit="1" customWidth="1"/>
    <col min="12044" max="12044" width="26.85546875" style="26" bestFit="1" customWidth="1"/>
    <col min="12045" max="12045" width="19.85546875" style="26" bestFit="1" customWidth="1"/>
    <col min="12046" max="12280" width="11.42578125" style="26"/>
    <col min="12281" max="12281" width="2.42578125" style="26" customWidth="1"/>
    <col min="12282" max="12282" width="49" style="26" customWidth="1"/>
    <col min="12283" max="12283" width="16.85546875" style="26" customWidth="1"/>
    <col min="12284" max="12284" width="1.140625" style="26" customWidth="1"/>
    <col min="12285" max="12285" width="20.5703125" style="26" customWidth="1"/>
    <col min="12286" max="12286" width="17.5703125" style="26" customWidth="1"/>
    <col min="12287" max="12287" width="18.140625" style="26" customWidth="1"/>
    <col min="12288" max="12288" width="17.140625" style="26" customWidth="1"/>
    <col min="12289" max="12289" width="22.42578125" style="26" bestFit="1" customWidth="1"/>
    <col min="12290" max="12290" width="22.140625" style="26" customWidth="1"/>
    <col min="12291" max="12291" width="17.85546875" style="26" customWidth="1"/>
    <col min="12292" max="12292" width="22.42578125" style="26" customWidth="1"/>
    <col min="12293" max="12293" width="10.140625" style="26" bestFit="1" customWidth="1"/>
    <col min="12294" max="12294" width="13.42578125" style="26" customWidth="1"/>
    <col min="12295" max="12295" width="7.42578125" style="26" bestFit="1" customWidth="1"/>
    <col min="12296" max="12296" width="15.42578125" style="26" bestFit="1" customWidth="1"/>
    <col min="12297" max="12297" width="7.42578125" style="26" bestFit="1" customWidth="1"/>
    <col min="12298" max="12298" width="19.5703125" style="26" bestFit="1" customWidth="1"/>
    <col min="12299" max="12299" width="7.42578125" style="26" bestFit="1" customWidth="1"/>
    <col min="12300" max="12300" width="26.85546875" style="26" bestFit="1" customWidth="1"/>
    <col min="12301" max="12301" width="19.85546875" style="26" bestFit="1" customWidth="1"/>
    <col min="12302" max="12536" width="11.42578125" style="26"/>
    <col min="12537" max="12537" width="2.42578125" style="26" customWidth="1"/>
    <col min="12538" max="12538" width="49" style="26" customWidth="1"/>
    <col min="12539" max="12539" width="16.85546875" style="26" customWidth="1"/>
    <col min="12540" max="12540" width="1.140625" style="26" customWidth="1"/>
    <col min="12541" max="12541" width="20.5703125" style="26" customWidth="1"/>
    <col min="12542" max="12542" width="17.5703125" style="26" customWidth="1"/>
    <col min="12543" max="12543" width="18.140625" style="26" customWidth="1"/>
    <col min="12544" max="12544" width="17.140625" style="26" customWidth="1"/>
    <col min="12545" max="12545" width="22.42578125" style="26" bestFit="1" customWidth="1"/>
    <col min="12546" max="12546" width="22.140625" style="26" customWidth="1"/>
    <col min="12547" max="12547" width="17.85546875" style="26" customWidth="1"/>
    <col min="12548" max="12548" width="22.42578125" style="26" customWidth="1"/>
    <col min="12549" max="12549" width="10.140625" style="26" bestFit="1" customWidth="1"/>
    <col min="12550" max="12550" width="13.42578125" style="26" customWidth="1"/>
    <col min="12551" max="12551" width="7.42578125" style="26" bestFit="1" customWidth="1"/>
    <col min="12552" max="12552" width="15.42578125" style="26" bestFit="1" customWidth="1"/>
    <col min="12553" max="12553" width="7.42578125" style="26" bestFit="1" customWidth="1"/>
    <col min="12554" max="12554" width="19.5703125" style="26" bestFit="1" customWidth="1"/>
    <col min="12555" max="12555" width="7.42578125" style="26" bestFit="1" customWidth="1"/>
    <col min="12556" max="12556" width="26.85546875" style="26" bestFit="1" customWidth="1"/>
    <col min="12557" max="12557" width="19.85546875" style="26" bestFit="1" customWidth="1"/>
    <col min="12558" max="12792" width="11.42578125" style="26"/>
    <col min="12793" max="12793" width="2.42578125" style="26" customWidth="1"/>
    <col min="12794" max="12794" width="49" style="26" customWidth="1"/>
    <col min="12795" max="12795" width="16.85546875" style="26" customWidth="1"/>
    <col min="12796" max="12796" width="1.140625" style="26" customWidth="1"/>
    <col min="12797" max="12797" width="20.5703125" style="26" customWidth="1"/>
    <col min="12798" max="12798" width="17.5703125" style="26" customWidth="1"/>
    <col min="12799" max="12799" width="18.140625" style="26" customWidth="1"/>
    <col min="12800" max="12800" width="17.140625" style="26" customWidth="1"/>
    <col min="12801" max="12801" width="22.42578125" style="26" bestFit="1" customWidth="1"/>
    <col min="12802" max="12802" width="22.140625" style="26" customWidth="1"/>
    <col min="12803" max="12803" width="17.85546875" style="26" customWidth="1"/>
    <col min="12804" max="12804" width="22.42578125" style="26" customWidth="1"/>
    <col min="12805" max="12805" width="10.140625" style="26" bestFit="1" customWidth="1"/>
    <col min="12806" max="12806" width="13.42578125" style="26" customWidth="1"/>
    <col min="12807" max="12807" width="7.42578125" style="26" bestFit="1" customWidth="1"/>
    <col min="12808" max="12808" width="15.42578125" style="26" bestFit="1" customWidth="1"/>
    <col min="12809" max="12809" width="7.42578125" style="26" bestFit="1" customWidth="1"/>
    <col min="12810" max="12810" width="19.5703125" style="26" bestFit="1" customWidth="1"/>
    <col min="12811" max="12811" width="7.42578125" style="26" bestFit="1" customWidth="1"/>
    <col min="12812" max="12812" width="26.85546875" style="26" bestFit="1" customWidth="1"/>
    <col min="12813" max="12813" width="19.85546875" style="26" bestFit="1" customWidth="1"/>
    <col min="12814" max="13048" width="11.42578125" style="26"/>
    <col min="13049" max="13049" width="2.42578125" style="26" customWidth="1"/>
    <col min="13050" max="13050" width="49" style="26" customWidth="1"/>
    <col min="13051" max="13051" width="16.85546875" style="26" customWidth="1"/>
    <col min="13052" max="13052" width="1.140625" style="26" customWidth="1"/>
    <col min="13053" max="13053" width="20.5703125" style="26" customWidth="1"/>
    <col min="13054" max="13054" width="17.5703125" style="26" customWidth="1"/>
    <col min="13055" max="13055" width="18.140625" style="26" customWidth="1"/>
    <col min="13056" max="13056" width="17.140625" style="26" customWidth="1"/>
    <col min="13057" max="13057" width="22.42578125" style="26" bestFit="1" customWidth="1"/>
    <col min="13058" max="13058" width="22.140625" style="26" customWidth="1"/>
    <col min="13059" max="13059" width="17.85546875" style="26" customWidth="1"/>
    <col min="13060" max="13060" width="22.42578125" style="26" customWidth="1"/>
    <col min="13061" max="13061" width="10.140625" style="26" bestFit="1" customWidth="1"/>
    <col min="13062" max="13062" width="13.42578125" style="26" customWidth="1"/>
    <col min="13063" max="13063" width="7.42578125" style="26" bestFit="1" customWidth="1"/>
    <col min="13064" max="13064" width="15.42578125" style="26" bestFit="1" customWidth="1"/>
    <col min="13065" max="13065" width="7.42578125" style="26" bestFit="1" customWidth="1"/>
    <col min="13066" max="13066" width="19.5703125" style="26" bestFit="1" customWidth="1"/>
    <col min="13067" max="13067" width="7.42578125" style="26" bestFit="1" customWidth="1"/>
    <col min="13068" max="13068" width="26.85546875" style="26" bestFit="1" customWidth="1"/>
    <col min="13069" max="13069" width="19.85546875" style="26" bestFit="1" customWidth="1"/>
    <col min="13070" max="13304" width="11.42578125" style="26"/>
    <col min="13305" max="13305" width="2.42578125" style="26" customWidth="1"/>
    <col min="13306" max="13306" width="49" style="26" customWidth="1"/>
    <col min="13307" max="13307" width="16.85546875" style="26" customWidth="1"/>
    <col min="13308" max="13308" width="1.140625" style="26" customWidth="1"/>
    <col min="13309" max="13309" width="20.5703125" style="26" customWidth="1"/>
    <col min="13310" max="13310" width="17.5703125" style="26" customWidth="1"/>
    <col min="13311" max="13311" width="18.140625" style="26" customWidth="1"/>
    <col min="13312" max="13312" width="17.140625" style="26" customWidth="1"/>
    <col min="13313" max="13313" width="22.42578125" style="26" bestFit="1" customWidth="1"/>
    <col min="13314" max="13314" width="22.140625" style="26" customWidth="1"/>
    <col min="13315" max="13315" width="17.85546875" style="26" customWidth="1"/>
    <col min="13316" max="13316" width="22.42578125" style="26" customWidth="1"/>
    <col min="13317" max="13317" width="10.140625" style="26" bestFit="1" customWidth="1"/>
    <col min="13318" max="13318" width="13.42578125" style="26" customWidth="1"/>
    <col min="13319" max="13319" width="7.42578125" style="26" bestFit="1" customWidth="1"/>
    <col min="13320" max="13320" width="15.42578125" style="26" bestFit="1" customWidth="1"/>
    <col min="13321" max="13321" width="7.42578125" style="26" bestFit="1" customWidth="1"/>
    <col min="13322" max="13322" width="19.5703125" style="26" bestFit="1" customWidth="1"/>
    <col min="13323" max="13323" width="7.42578125" style="26" bestFit="1" customWidth="1"/>
    <col min="13324" max="13324" width="26.85546875" style="26" bestFit="1" customWidth="1"/>
    <col min="13325" max="13325" width="19.85546875" style="26" bestFit="1" customWidth="1"/>
    <col min="13326" max="13560" width="11.42578125" style="26"/>
    <col min="13561" max="13561" width="2.42578125" style="26" customWidth="1"/>
    <col min="13562" max="13562" width="49" style="26" customWidth="1"/>
    <col min="13563" max="13563" width="16.85546875" style="26" customWidth="1"/>
    <col min="13564" max="13564" width="1.140625" style="26" customWidth="1"/>
    <col min="13565" max="13565" width="20.5703125" style="26" customWidth="1"/>
    <col min="13566" max="13566" width="17.5703125" style="26" customWidth="1"/>
    <col min="13567" max="13567" width="18.140625" style="26" customWidth="1"/>
    <col min="13568" max="13568" width="17.140625" style="26" customWidth="1"/>
    <col min="13569" max="13569" width="22.42578125" style="26" bestFit="1" customWidth="1"/>
    <col min="13570" max="13570" width="22.140625" style="26" customWidth="1"/>
    <col min="13571" max="13571" width="17.85546875" style="26" customWidth="1"/>
    <col min="13572" max="13572" width="22.42578125" style="26" customWidth="1"/>
    <col min="13573" max="13573" width="10.140625" style="26" bestFit="1" customWidth="1"/>
    <col min="13574" max="13574" width="13.42578125" style="26" customWidth="1"/>
    <col min="13575" max="13575" width="7.42578125" style="26" bestFit="1" customWidth="1"/>
    <col min="13576" max="13576" width="15.42578125" style="26" bestFit="1" customWidth="1"/>
    <col min="13577" max="13577" width="7.42578125" style="26" bestFit="1" customWidth="1"/>
    <col min="13578" max="13578" width="19.5703125" style="26" bestFit="1" customWidth="1"/>
    <col min="13579" max="13579" width="7.42578125" style="26" bestFit="1" customWidth="1"/>
    <col min="13580" max="13580" width="26.85546875" style="26" bestFit="1" customWidth="1"/>
    <col min="13581" max="13581" width="19.85546875" style="26" bestFit="1" customWidth="1"/>
    <col min="13582" max="13816" width="11.42578125" style="26"/>
    <col min="13817" max="13817" width="2.42578125" style="26" customWidth="1"/>
    <col min="13818" max="13818" width="49" style="26" customWidth="1"/>
    <col min="13819" max="13819" width="16.85546875" style="26" customWidth="1"/>
    <col min="13820" max="13820" width="1.140625" style="26" customWidth="1"/>
    <col min="13821" max="13821" width="20.5703125" style="26" customWidth="1"/>
    <col min="13822" max="13822" width="17.5703125" style="26" customWidth="1"/>
    <col min="13823" max="13823" width="18.140625" style="26" customWidth="1"/>
    <col min="13824" max="13824" width="17.140625" style="26" customWidth="1"/>
    <col min="13825" max="13825" width="22.42578125" style="26" bestFit="1" customWidth="1"/>
    <col min="13826" max="13826" width="22.140625" style="26" customWidth="1"/>
    <col min="13827" max="13827" width="17.85546875" style="26" customWidth="1"/>
    <col min="13828" max="13828" width="22.42578125" style="26" customWidth="1"/>
    <col min="13829" max="13829" width="10.140625" style="26" bestFit="1" customWidth="1"/>
    <col min="13830" max="13830" width="13.42578125" style="26" customWidth="1"/>
    <col min="13831" max="13831" width="7.42578125" style="26" bestFit="1" customWidth="1"/>
    <col min="13832" max="13832" width="15.42578125" style="26" bestFit="1" customWidth="1"/>
    <col min="13833" max="13833" width="7.42578125" style="26" bestFit="1" customWidth="1"/>
    <col min="13834" max="13834" width="19.5703125" style="26" bestFit="1" customWidth="1"/>
    <col min="13835" max="13835" width="7.42578125" style="26" bestFit="1" customWidth="1"/>
    <col min="13836" max="13836" width="26.85546875" style="26" bestFit="1" customWidth="1"/>
    <col min="13837" max="13837" width="19.85546875" style="26" bestFit="1" customWidth="1"/>
    <col min="13838" max="14072" width="11.42578125" style="26"/>
    <col min="14073" max="14073" width="2.42578125" style="26" customWidth="1"/>
    <col min="14074" max="14074" width="49" style="26" customWidth="1"/>
    <col min="14075" max="14075" width="16.85546875" style="26" customWidth="1"/>
    <col min="14076" max="14076" width="1.140625" style="26" customWidth="1"/>
    <col min="14077" max="14077" width="20.5703125" style="26" customWidth="1"/>
    <col min="14078" max="14078" width="17.5703125" style="26" customWidth="1"/>
    <col min="14079" max="14079" width="18.140625" style="26" customWidth="1"/>
    <col min="14080" max="14080" width="17.140625" style="26" customWidth="1"/>
    <col min="14081" max="14081" width="22.42578125" style="26" bestFit="1" customWidth="1"/>
    <col min="14082" max="14082" width="22.140625" style="26" customWidth="1"/>
    <col min="14083" max="14083" width="17.85546875" style="26" customWidth="1"/>
    <col min="14084" max="14084" width="22.42578125" style="26" customWidth="1"/>
    <col min="14085" max="14085" width="10.140625" style="26" bestFit="1" customWidth="1"/>
    <col min="14086" max="14086" width="13.42578125" style="26" customWidth="1"/>
    <col min="14087" max="14087" width="7.42578125" style="26" bestFit="1" customWidth="1"/>
    <col min="14088" max="14088" width="15.42578125" style="26" bestFit="1" customWidth="1"/>
    <col min="14089" max="14089" width="7.42578125" style="26" bestFit="1" customWidth="1"/>
    <col min="14090" max="14090" width="19.5703125" style="26" bestFit="1" customWidth="1"/>
    <col min="14091" max="14091" width="7.42578125" style="26" bestFit="1" customWidth="1"/>
    <col min="14092" max="14092" width="26.85546875" style="26" bestFit="1" customWidth="1"/>
    <col min="14093" max="14093" width="19.85546875" style="26" bestFit="1" customWidth="1"/>
    <col min="14094" max="14328" width="11.42578125" style="26"/>
    <col min="14329" max="14329" width="2.42578125" style="26" customWidth="1"/>
    <col min="14330" max="14330" width="49" style="26" customWidth="1"/>
    <col min="14331" max="14331" width="16.85546875" style="26" customWidth="1"/>
    <col min="14332" max="14332" width="1.140625" style="26" customWidth="1"/>
    <col min="14333" max="14333" width="20.5703125" style="26" customWidth="1"/>
    <col min="14334" max="14334" width="17.5703125" style="26" customWidth="1"/>
    <col min="14335" max="14335" width="18.140625" style="26" customWidth="1"/>
    <col min="14336" max="14336" width="17.140625" style="26" customWidth="1"/>
    <col min="14337" max="14337" width="22.42578125" style="26" bestFit="1" customWidth="1"/>
    <col min="14338" max="14338" width="22.140625" style="26" customWidth="1"/>
    <col min="14339" max="14339" width="17.85546875" style="26" customWidth="1"/>
    <col min="14340" max="14340" width="22.42578125" style="26" customWidth="1"/>
    <col min="14341" max="14341" width="10.140625" style="26" bestFit="1" customWidth="1"/>
    <col min="14342" max="14342" width="13.42578125" style="26" customWidth="1"/>
    <col min="14343" max="14343" width="7.42578125" style="26" bestFit="1" customWidth="1"/>
    <col min="14344" max="14344" width="15.42578125" style="26" bestFit="1" customWidth="1"/>
    <col min="14345" max="14345" width="7.42578125" style="26" bestFit="1" customWidth="1"/>
    <col min="14346" max="14346" width="19.5703125" style="26" bestFit="1" customWidth="1"/>
    <col min="14347" max="14347" width="7.42578125" style="26" bestFit="1" customWidth="1"/>
    <col min="14348" max="14348" width="26.85546875" style="26" bestFit="1" customWidth="1"/>
    <col min="14349" max="14349" width="19.85546875" style="26" bestFit="1" customWidth="1"/>
    <col min="14350" max="14584" width="11.42578125" style="26"/>
    <col min="14585" max="14585" width="2.42578125" style="26" customWidth="1"/>
    <col min="14586" max="14586" width="49" style="26" customWidth="1"/>
    <col min="14587" max="14587" width="16.85546875" style="26" customWidth="1"/>
    <col min="14588" max="14588" width="1.140625" style="26" customWidth="1"/>
    <col min="14589" max="14589" width="20.5703125" style="26" customWidth="1"/>
    <col min="14590" max="14590" width="17.5703125" style="26" customWidth="1"/>
    <col min="14591" max="14591" width="18.140625" style="26" customWidth="1"/>
    <col min="14592" max="14592" width="17.140625" style="26" customWidth="1"/>
    <col min="14593" max="14593" width="22.42578125" style="26" bestFit="1" customWidth="1"/>
    <col min="14594" max="14594" width="22.140625" style="26" customWidth="1"/>
    <col min="14595" max="14595" width="17.85546875" style="26" customWidth="1"/>
    <col min="14596" max="14596" width="22.42578125" style="26" customWidth="1"/>
    <col min="14597" max="14597" width="10.140625" style="26" bestFit="1" customWidth="1"/>
    <col min="14598" max="14598" width="13.42578125" style="26" customWidth="1"/>
    <col min="14599" max="14599" width="7.42578125" style="26" bestFit="1" customWidth="1"/>
    <col min="14600" max="14600" width="15.42578125" style="26" bestFit="1" customWidth="1"/>
    <col min="14601" max="14601" width="7.42578125" style="26" bestFit="1" customWidth="1"/>
    <col min="14602" max="14602" width="19.5703125" style="26" bestFit="1" customWidth="1"/>
    <col min="14603" max="14603" width="7.42578125" style="26" bestFit="1" customWidth="1"/>
    <col min="14604" max="14604" width="26.85546875" style="26" bestFit="1" customWidth="1"/>
    <col min="14605" max="14605" width="19.85546875" style="26" bestFit="1" customWidth="1"/>
    <col min="14606" max="14840" width="11.42578125" style="26"/>
    <col min="14841" max="14841" width="2.42578125" style="26" customWidth="1"/>
    <col min="14842" max="14842" width="49" style="26" customWidth="1"/>
    <col min="14843" max="14843" width="16.85546875" style="26" customWidth="1"/>
    <col min="14844" max="14844" width="1.140625" style="26" customWidth="1"/>
    <col min="14845" max="14845" width="20.5703125" style="26" customWidth="1"/>
    <col min="14846" max="14846" width="17.5703125" style="26" customWidth="1"/>
    <col min="14847" max="14847" width="18.140625" style="26" customWidth="1"/>
    <col min="14848" max="14848" width="17.140625" style="26" customWidth="1"/>
    <col min="14849" max="14849" width="22.42578125" style="26" bestFit="1" customWidth="1"/>
    <col min="14850" max="14850" width="22.140625" style="26" customWidth="1"/>
    <col min="14851" max="14851" width="17.85546875" style="26" customWidth="1"/>
    <col min="14852" max="14852" width="22.42578125" style="26" customWidth="1"/>
    <col min="14853" max="14853" width="10.140625" style="26" bestFit="1" customWidth="1"/>
    <col min="14854" max="14854" width="13.42578125" style="26" customWidth="1"/>
    <col min="14855" max="14855" width="7.42578125" style="26" bestFit="1" customWidth="1"/>
    <col min="14856" max="14856" width="15.42578125" style="26" bestFit="1" customWidth="1"/>
    <col min="14857" max="14857" width="7.42578125" style="26" bestFit="1" customWidth="1"/>
    <col min="14858" max="14858" width="19.5703125" style="26" bestFit="1" customWidth="1"/>
    <col min="14859" max="14859" width="7.42578125" style="26" bestFit="1" customWidth="1"/>
    <col min="14860" max="14860" width="26.85546875" style="26" bestFit="1" customWidth="1"/>
    <col min="14861" max="14861" width="19.85546875" style="26" bestFit="1" customWidth="1"/>
    <col min="14862" max="15096" width="11.42578125" style="26"/>
    <col min="15097" max="15097" width="2.42578125" style="26" customWidth="1"/>
    <col min="15098" max="15098" width="49" style="26" customWidth="1"/>
    <col min="15099" max="15099" width="16.85546875" style="26" customWidth="1"/>
    <col min="15100" max="15100" width="1.140625" style="26" customWidth="1"/>
    <col min="15101" max="15101" width="20.5703125" style="26" customWidth="1"/>
    <col min="15102" max="15102" width="17.5703125" style="26" customWidth="1"/>
    <col min="15103" max="15103" width="18.140625" style="26" customWidth="1"/>
    <col min="15104" max="15104" width="17.140625" style="26" customWidth="1"/>
    <col min="15105" max="15105" width="22.42578125" style="26" bestFit="1" customWidth="1"/>
    <col min="15106" max="15106" width="22.140625" style="26" customWidth="1"/>
    <col min="15107" max="15107" width="17.85546875" style="26" customWidth="1"/>
    <col min="15108" max="15108" width="22.42578125" style="26" customWidth="1"/>
    <col min="15109" max="15109" width="10.140625" style="26" bestFit="1" customWidth="1"/>
    <col min="15110" max="15110" width="13.42578125" style="26" customWidth="1"/>
    <col min="15111" max="15111" width="7.42578125" style="26" bestFit="1" customWidth="1"/>
    <col min="15112" max="15112" width="15.42578125" style="26" bestFit="1" customWidth="1"/>
    <col min="15113" max="15113" width="7.42578125" style="26" bestFit="1" customWidth="1"/>
    <col min="15114" max="15114" width="19.5703125" style="26" bestFit="1" customWidth="1"/>
    <col min="15115" max="15115" width="7.42578125" style="26" bestFit="1" customWidth="1"/>
    <col min="15116" max="15116" width="26.85546875" style="26" bestFit="1" customWidth="1"/>
    <col min="15117" max="15117" width="19.85546875" style="26" bestFit="1" customWidth="1"/>
    <col min="15118" max="15352" width="11.42578125" style="26"/>
    <col min="15353" max="15353" width="2.42578125" style="26" customWidth="1"/>
    <col min="15354" max="15354" width="49" style="26" customWidth="1"/>
    <col min="15355" max="15355" width="16.85546875" style="26" customWidth="1"/>
    <col min="15356" max="15356" width="1.140625" style="26" customWidth="1"/>
    <col min="15357" max="15357" width="20.5703125" style="26" customWidth="1"/>
    <col min="15358" max="15358" width="17.5703125" style="26" customWidth="1"/>
    <col min="15359" max="15359" width="18.140625" style="26" customWidth="1"/>
    <col min="15360" max="15360" width="17.140625" style="26" customWidth="1"/>
    <col min="15361" max="15361" width="22.42578125" style="26" bestFit="1" customWidth="1"/>
    <col min="15362" max="15362" width="22.140625" style="26" customWidth="1"/>
    <col min="15363" max="15363" width="17.85546875" style="26" customWidth="1"/>
    <col min="15364" max="15364" width="22.42578125" style="26" customWidth="1"/>
    <col min="15365" max="15365" width="10.140625" style="26" bestFit="1" customWidth="1"/>
    <col min="15366" max="15366" width="13.42578125" style="26" customWidth="1"/>
    <col min="15367" max="15367" width="7.42578125" style="26" bestFit="1" customWidth="1"/>
    <col min="15368" max="15368" width="15.42578125" style="26" bestFit="1" customWidth="1"/>
    <col min="15369" max="15369" width="7.42578125" style="26" bestFit="1" customWidth="1"/>
    <col min="15370" max="15370" width="19.5703125" style="26" bestFit="1" customWidth="1"/>
    <col min="15371" max="15371" width="7.42578125" style="26" bestFit="1" customWidth="1"/>
    <col min="15372" max="15372" width="26.85546875" style="26" bestFit="1" customWidth="1"/>
    <col min="15373" max="15373" width="19.85546875" style="26" bestFit="1" customWidth="1"/>
    <col min="15374" max="15608" width="11.42578125" style="26"/>
    <col min="15609" max="15609" width="2.42578125" style="26" customWidth="1"/>
    <col min="15610" max="15610" width="49" style="26" customWidth="1"/>
    <col min="15611" max="15611" width="16.85546875" style="26" customWidth="1"/>
    <col min="15612" max="15612" width="1.140625" style="26" customWidth="1"/>
    <col min="15613" max="15613" width="20.5703125" style="26" customWidth="1"/>
    <col min="15614" max="15614" width="17.5703125" style="26" customWidth="1"/>
    <col min="15615" max="15615" width="18.140625" style="26" customWidth="1"/>
    <col min="15616" max="15616" width="17.140625" style="26" customWidth="1"/>
    <col min="15617" max="15617" width="22.42578125" style="26" bestFit="1" customWidth="1"/>
    <col min="15618" max="15618" width="22.140625" style="26" customWidth="1"/>
    <col min="15619" max="15619" width="17.85546875" style="26" customWidth="1"/>
    <col min="15620" max="15620" width="22.42578125" style="26" customWidth="1"/>
    <col min="15621" max="15621" width="10.140625" style="26" bestFit="1" customWidth="1"/>
    <col min="15622" max="15622" width="13.42578125" style="26" customWidth="1"/>
    <col min="15623" max="15623" width="7.42578125" style="26" bestFit="1" customWidth="1"/>
    <col min="15624" max="15624" width="15.42578125" style="26" bestFit="1" customWidth="1"/>
    <col min="15625" max="15625" width="7.42578125" style="26" bestFit="1" customWidth="1"/>
    <col min="15626" max="15626" width="19.5703125" style="26" bestFit="1" customWidth="1"/>
    <col min="15627" max="15627" width="7.42578125" style="26" bestFit="1" customWidth="1"/>
    <col min="15628" max="15628" width="26.85546875" style="26" bestFit="1" customWidth="1"/>
    <col min="15629" max="15629" width="19.85546875" style="26" bestFit="1" customWidth="1"/>
    <col min="15630" max="15864" width="11.42578125" style="26"/>
    <col min="15865" max="15865" width="2.42578125" style="26" customWidth="1"/>
    <col min="15866" max="15866" width="49" style="26" customWidth="1"/>
    <col min="15867" max="15867" width="16.85546875" style="26" customWidth="1"/>
    <col min="15868" max="15868" width="1.140625" style="26" customWidth="1"/>
    <col min="15869" max="15869" width="20.5703125" style="26" customWidth="1"/>
    <col min="15870" max="15870" width="17.5703125" style="26" customWidth="1"/>
    <col min="15871" max="15871" width="18.140625" style="26" customWidth="1"/>
    <col min="15872" max="15872" width="17.140625" style="26" customWidth="1"/>
    <col min="15873" max="15873" width="22.42578125" style="26" bestFit="1" customWidth="1"/>
    <col min="15874" max="15874" width="22.140625" style="26" customWidth="1"/>
    <col min="15875" max="15875" width="17.85546875" style="26" customWidth="1"/>
    <col min="15876" max="15876" width="22.42578125" style="26" customWidth="1"/>
    <col min="15877" max="15877" width="10.140625" style="26" bestFit="1" customWidth="1"/>
    <col min="15878" max="15878" width="13.42578125" style="26" customWidth="1"/>
    <col min="15879" max="15879" width="7.42578125" style="26" bestFit="1" customWidth="1"/>
    <col min="15880" max="15880" width="15.42578125" style="26" bestFit="1" customWidth="1"/>
    <col min="15881" max="15881" width="7.42578125" style="26" bestFit="1" customWidth="1"/>
    <col min="15882" max="15882" width="19.5703125" style="26" bestFit="1" customWidth="1"/>
    <col min="15883" max="15883" width="7.42578125" style="26" bestFit="1" customWidth="1"/>
    <col min="15884" max="15884" width="26.85546875" style="26" bestFit="1" customWidth="1"/>
    <col min="15885" max="15885" width="19.85546875" style="26" bestFit="1" customWidth="1"/>
    <col min="15886" max="16120" width="11.42578125" style="26"/>
    <col min="16121" max="16121" width="2.42578125" style="26" customWidth="1"/>
    <col min="16122" max="16122" width="49" style="26" customWidth="1"/>
    <col min="16123" max="16123" width="16.85546875" style="26" customWidth="1"/>
    <col min="16124" max="16124" width="1.140625" style="26" customWidth="1"/>
    <col min="16125" max="16125" width="20.5703125" style="26" customWidth="1"/>
    <col min="16126" max="16126" width="17.5703125" style="26" customWidth="1"/>
    <col min="16127" max="16127" width="18.140625" style="26" customWidth="1"/>
    <col min="16128" max="16128" width="17.140625" style="26" customWidth="1"/>
    <col min="16129" max="16129" width="22.42578125" style="26" bestFit="1" customWidth="1"/>
    <col min="16130" max="16130" width="22.140625" style="26" customWidth="1"/>
    <col min="16131" max="16131" width="17.85546875" style="26" customWidth="1"/>
    <col min="16132" max="16132" width="22.42578125" style="26" customWidth="1"/>
    <col min="16133" max="16133" width="10.140625" style="26" bestFit="1" customWidth="1"/>
    <col min="16134" max="16134" width="13.42578125" style="26" customWidth="1"/>
    <col min="16135" max="16135" width="7.42578125" style="26" bestFit="1" customWidth="1"/>
    <col min="16136" max="16136" width="15.42578125" style="26" bestFit="1" customWidth="1"/>
    <col min="16137" max="16137" width="7.42578125" style="26" bestFit="1" customWidth="1"/>
    <col min="16138" max="16138" width="19.5703125" style="26" bestFit="1" customWidth="1"/>
    <col min="16139" max="16139" width="7.42578125" style="26" bestFit="1" customWidth="1"/>
    <col min="16140" max="16140" width="26.85546875" style="26" bestFit="1" customWidth="1"/>
    <col min="16141" max="16141" width="19.85546875" style="26" bestFit="1" customWidth="1"/>
    <col min="16142" max="16384" width="11.42578125" style="26"/>
  </cols>
  <sheetData>
    <row r="2" spans="3:13" ht="15" x14ac:dyDescent="0.2">
      <c r="F2" s="25" t="s">
        <v>108</v>
      </c>
      <c r="G2" s="27"/>
      <c r="H2" s="101"/>
    </row>
    <row r="3" spans="3:13" s="27" customFormat="1" ht="13.5" customHeight="1" x14ac:dyDescent="0.2">
      <c r="C3" s="148"/>
      <c r="D3" s="148"/>
      <c r="E3" s="148"/>
      <c r="F3" s="25" t="s">
        <v>107</v>
      </c>
      <c r="H3" s="101"/>
    </row>
    <row r="4" spans="3:13" s="27" customFormat="1" ht="15" x14ac:dyDescent="0.2">
      <c r="E4" s="148"/>
      <c r="F4" s="25" t="s">
        <v>87</v>
      </c>
      <c r="H4" s="101"/>
    </row>
    <row r="5" spans="3:13" s="27" customFormat="1" x14ac:dyDescent="0.2">
      <c r="E5" s="148"/>
      <c r="F5" s="148"/>
      <c r="G5" s="148"/>
    </row>
    <row r="6" spans="3:13" s="27" customFormat="1" x14ac:dyDescent="0.2">
      <c r="E6" s="148"/>
      <c r="F6" s="148"/>
      <c r="G6" s="148"/>
    </row>
    <row r="7" spans="3:13" s="27" customFormat="1" ht="13.5" customHeight="1" x14ac:dyDescent="0.2">
      <c r="G7" s="148"/>
    </row>
    <row r="8" spans="3:13" ht="15.75" x14ac:dyDescent="0.2">
      <c r="C8" s="1076" t="s">
        <v>86</v>
      </c>
      <c r="D8" s="1077"/>
      <c r="E8" s="1077"/>
      <c r="F8" s="1078"/>
      <c r="G8" s="156"/>
      <c r="I8" s="31"/>
    </row>
    <row r="9" spans="3:13" ht="16.5" x14ac:dyDescent="0.25">
      <c r="C9" s="28"/>
      <c r="D9" s="28"/>
      <c r="E9" s="29"/>
      <c r="F9" s="30"/>
      <c r="G9" s="148"/>
      <c r="H9" s="31"/>
      <c r="I9" s="31"/>
    </row>
    <row r="10" spans="3:13" ht="9.75" customHeight="1" thickBot="1" x14ac:dyDescent="0.25">
      <c r="H10" s="31"/>
      <c r="M10" s="35"/>
    </row>
    <row r="11" spans="3:13" s="38" customFormat="1" ht="14.25" thickTop="1" thickBot="1" x14ac:dyDescent="0.25">
      <c r="C11" s="207" t="s">
        <v>125</v>
      </c>
      <c r="F11" s="165"/>
    </row>
    <row r="12" spans="3:13" s="38" customFormat="1" ht="13.5" thickTop="1" x14ac:dyDescent="0.2">
      <c r="F12" s="166"/>
    </row>
    <row r="13" spans="3:13" ht="13.5" x14ac:dyDescent="0.2">
      <c r="C13" s="209"/>
      <c r="D13" s="41"/>
      <c r="E13" s="42"/>
      <c r="F13" s="165"/>
      <c r="G13" s="42"/>
      <c r="H13" s="43"/>
      <c r="I13" s="41"/>
    </row>
    <row r="14" spans="3:13" ht="13.5" x14ac:dyDescent="0.25">
      <c r="C14" s="210"/>
      <c r="D14" s="45"/>
      <c r="E14" s="47"/>
      <c r="F14" s="165"/>
      <c r="G14" s="48"/>
      <c r="H14" s="49"/>
      <c r="I14" s="50"/>
    </row>
    <row r="15" spans="3:13" ht="13.5" x14ac:dyDescent="0.25">
      <c r="C15" s="211"/>
      <c r="D15" s="45"/>
      <c r="E15" s="47"/>
      <c r="F15" s="165"/>
      <c r="G15" s="48"/>
      <c r="H15" s="49"/>
      <c r="I15" s="50"/>
    </row>
    <row r="16" spans="3:13" ht="13.5" thickBot="1" x14ac:dyDescent="0.25">
      <c r="E16" s="51"/>
      <c r="F16" s="51"/>
      <c r="G16" s="51"/>
      <c r="H16" s="51"/>
    </row>
    <row r="17" spans="3:11" s="52" customFormat="1" ht="14.25" thickTop="1" thickBot="1" x14ac:dyDescent="0.25">
      <c r="C17" s="208" t="s">
        <v>126</v>
      </c>
      <c r="E17" s="53"/>
      <c r="F17" s="165"/>
      <c r="G17" s="53"/>
      <c r="H17" s="54"/>
    </row>
    <row r="18" spans="3:11" s="56" customFormat="1" ht="7.5" customHeight="1" thickTop="1" x14ac:dyDescent="0.2">
      <c r="C18" s="55"/>
      <c r="E18" s="57"/>
      <c r="F18" s="57"/>
      <c r="G18" s="57"/>
      <c r="H18" s="57"/>
    </row>
    <row r="19" spans="3:11" s="62" customFormat="1" x14ac:dyDescent="0.2">
      <c r="C19" s="209"/>
      <c r="D19" s="58"/>
      <c r="E19" s="60"/>
      <c r="F19" s="165"/>
      <c r="G19" s="61"/>
      <c r="H19" s="60"/>
    </row>
    <row r="20" spans="3:11" s="62" customFormat="1" x14ac:dyDescent="0.2">
      <c r="C20" s="210"/>
      <c r="D20" s="58"/>
      <c r="E20" s="60"/>
      <c r="F20" s="165"/>
      <c r="G20" s="61"/>
      <c r="H20" s="60"/>
    </row>
    <row r="21" spans="3:11" s="62" customFormat="1" x14ac:dyDescent="0.2">
      <c r="C21" s="210"/>
      <c r="D21" s="58"/>
      <c r="E21" s="60"/>
      <c r="F21" s="165"/>
      <c r="G21" s="61"/>
      <c r="H21" s="60"/>
    </row>
    <row r="22" spans="3:11" s="62" customFormat="1" x14ac:dyDescent="0.2">
      <c r="C22" s="211"/>
      <c r="D22" s="58"/>
      <c r="E22" s="60"/>
      <c r="F22" s="165"/>
      <c r="G22" s="61"/>
      <c r="H22" s="60"/>
    </row>
    <row r="23" spans="3:11" s="56" customFormat="1" ht="15.75" thickBot="1" x14ac:dyDescent="0.3">
      <c r="D23" s="66"/>
      <c r="E23" s="68"/>
      <c r="F23" s="67"/>
      <c r="G23" s="69"/>
      <c r="H23" s="67"/>
      <c r="K23" s="62"/>
    </row>
    <row r="24" spans="3:11" s="52" customFormat="1" ht="16.5" thickTop="1" thickBot="1" x14ac:dyDescent="0.25">
      <c r="C24" s="208"/>
      <c r="E24" s="70"/>
      <c r="F24" s="165"/>
      <c r="G24" s="70"/>
      <c r="H24" s="71"/>
      <c r="K24" s="62"/>
    </row>
    <row r="25" spans="3:11" s="56" customFormat="1" ht="6.75" customHeight="1" thickTop="1" x14ac:dyDescent="0.25">
      <c r="C25" s="72"/>
      <c r="E25" s="68"/>
      <c r="F25" s="68"/>
      <c r="G25" s="69"/>
      <c r="H25" s="67"/>
      <c r="K25" s="62"/>
    </row>
    <row r="26" spans="3:11" s="56" customFormat="1" ht="15" x14ac:dyDescent="0.25">
      <c r="C26" s="212"/>
      <c r="E26" s="73"/>
      <c r="F26" s="165"/>
      <c r="G26" s="61"/>
      <c r="H26" s="73"/>
      <c r="K26" s="62"/>
    </row>
    <row r="27" spans="3:11" s="56" customFormat="1" ht="7.5" customHeight="1" thickBot="1" x14ac:dyDescent="0.3">
      <c r="C27" s="74"/>
      <c r="E27" s="73"/>
      <c r="F27" s="73"/>
      <c r="G27" s="61"/>
      <c r="H27" s="73"/>
      <c r="K27" s="62"/>
    </row>
    <row r="28" spans="3:11" s="56" customFormat="1" ht="16.5" thickTop="1" thickBot="1" x14ac:dyDescent="0.3">
      <c r="C28" s="207" t="s">
        <v>127</v>
      </c>
      <c r="E28" s="73"/>
      <c r="F28" s="165"/>
      <c r="G28" s="61"/>
      <c r="H28" s="73"/>
      <c r="K28" s="62"/>
    </row>
    <row r="29" spans="3:11" s="56" customFormat="1" ht="3.75" customHeight="1" thickTop="1" x14ac:dyDescent="0.25">
      <c r="C29" s="74"/>
      <c r="E29" s="73"/>
      <c r="F29" s="73"/>
      <c r="G29" s="61"/>
      <c r="H29" s="73"/>
      <c r="K29" s="62"/>
    </row>
    <row r="30" spans="3:11" s="56" customFormat="1" ht="15" x14ac:dyDescent="0.25">
      <c r="C30" s="209"/>
      <c r="E30" s="73"/>
      <c r="F30" s="165"/>
      <c r="G30" s="61"/>
      <c r="H30" s="73"/>
      <c r="K30" s="62"/>
    </row>
    <row r="31" spans="3:11" s="56" customFormat="1" ht="15" x14ac:dyDescent="0.25">
      <c r="C31" s="213"/>
      <c r="E31" s="73"/>
      <c r="F31" s="165"/>
      <c r="G31" s="61"/>
      <c r="H31" s="73"/>
      <c r="K31" s="62"/>
    </row>
    <row r="32" spans="3:11" s="56" customFormat="1" ht="15.75" thickBot="1" x14ac:dyDescent="0.3">
      <c r="C32" s="75"/>
      <c r="D32" s="66"/>
      <c r="E32" s="73"/>
      <c r="F32" s="73"/>
      <c r="G32" s="61"/>
      <c r="H32" s="73"/>
      <c r="K32" s="62"/>
    </row>
    <row r="33" spans="1:14" s="52" customFormat="1" ht="14.25" thickTop="1" thickBot="1" x14ac:dyDescent="0.25">
      <c r="C33" s="207" t="s">
        <v>128</v>
      </c>
      <c r="E33" s="76"/>
      <c r="F33" s="165"/>
      <c r="G33" s="70"/>
      <c r="H33" s="76"/>
      <c r="I33" s="77"/>
      <c r="K33" s="62"/>
    </row>
    <row r="34" spans="1:14" s="56" customFormat="1" ht="15.75" thickTop="1" x14ac:dyDescent="0.25">
      <c r="E34" s="67"/>
      <c r="F34" s="67"/>
      <c r="G34" s="67"/>
      <c r="H34" s="67"/>
      <c r="I34" s="78"/>
      <c r="K34" s="62"/>
    </row>
    <row r="35" spans="1:14" s="56" customFormat="1" ht="15" x14ac:dyDescent="0.25">
      <c r="C35" s="209"/>
      <c r="E35" s="79"/>
      <c r="F35" s="165"/>
      <c r="G35" s="81"/>
      <c r="H35" s="73"/>
      <c r="I35" s="82"/>
      <c r="K35" s="62"/>
    </row>
    <row r="36" spans="1:14" s="56" customFormat="1" ht="15" x14ac:dyDescent="0.25">
      <c r="C36" s="210"/>
      <c r="D36" s="79"/>
      <c r="E36" s="79"/>
      <c r="F36" s="165"/>
      <c r="G36" s="81"/>
      <c r="H36" s="73"/>
      <c r="I36" s="79"/>
      <c r="K36" s="62"/>
    </row>
    <row r="37" spans="1:14" s="56" customFormat="1" ht="15" x14ac:dyDescent="0.25">
      <c r="C37" s="211"/>
      <c r="F37" s="165"/>
      <c r="H37" s="73"/>
    </row>
    <row r="38" spans="1:14" s="56" customFormat="1" ht="7.5" customHeight="1" thickBot="1" x14ac:dyDescent="0.25">
      <c r="C38" s="75"/>
      <c r="H38" s="84"/>
      <c r="J38" s="32"/>
      <c r="K38" s="85"/>
      <c r="L38" s="86"/>
    </row>
    <row r="39" spans="1:14" s="56" customFormat="1" ht="15.75" customHeight="1" thickTop="1" thickBot="1" x14ac:dyDescent="0.25">
      <c r="C39" s="207" t="s">
        <v>129</v>
      </c>
      <c r="D39" s="52"/>
      <c r="E39" s="76"/>
      <c r="F39" s="179"/>
      <c r="H39" s="84"/>
      <c r="J39" s="32"/>
      <c r="K39" s="85"/>
      <c r="L39" s="86"/>
    </row>
    <row r="40" spans="1:14" s="56" customFormat="1" ht="7.5" customHeight="1" thickTop="1" x14ac:dyDescent="0.25">
      <c r="E40" s="67"/>
      <c r="F40" s="67"/>
      <c r="H40" s="84"/>
      <c r="J40" s="32"/>
      <c r="K40" s="85"/>
      <c r="L40" s="86"/>
    </row>
    <row r="41" spans="1:14" s="56" customFormat="1" ht="15" customHeight="1" x14ac:dyDescent="0.2">
      <c r="C41" s="212"/>
      <c r="E41" s="79"/>
      <c r="F41" s="179"/>
      <c r="H41" s="84"/>
      <c r="J41" s="32"/>
      <c r="K41" s="85"/>
      <c r="L41" s="86"/>
    </row>
    <row r="42" spans="1:14" s="56" customFormat="1" ht="7.5" customHeight="1" thickBot="1" x14ac:dyDescent="0.25">
      <c r="A42" s="32"/>
      <c r="B42" s="32"/>
      <c r="C42" s="32"/>
      <c r="D42" s="32"/>
      <c r="E42" s="32"/>
      <c r="F42" s="32"/>
      <c r="G42" s="32"/>
      <c r="H42" s="32"/>
      <c r="I42" s="32"/>
      <c r="J42" s="32"/>
      <c r="K42" s="85"/>
      <c r="L42" s="86"/>
    </row>
    <row r="43" spans="1:14" s="56" customFormat="1" ht="14.25" thickTop="1" thickBot="1" x14ac:dyDescent="0.25">
      <c r="C43" s="207" t="s">
        <v>99</v>
      </c>
      <c r="D43" s="52"/>
      <c r="E43" s="76"/>
      <c r="F43" s="165"/>
      <c r="J43" s="91"/>
      <c r="K43" s="92"/>
      <c r="L43" s="93"/>
      <c r="M43" s="94"/>
      <c r="N43" s="95"/>
    </row>
    <row r="44" spans="1:14" s="56" customFormat="1" ht="6.75" customHeight="1" thickTop="1" x14ac:dyDescent="0.25">
      <c r="E44" s="67"/>
      <c r="F44" s="67"/>
      <c r="J44" s="91"/>
      <c r="K44" s="91"/>
      <c r="L44" s="94"/>
      <c r="M44" s="94"/>
      <c r="N44" s="95"/>
    </row>
    <row r="45" spans="1:14" s="56" customFormat="1" x14ac:dyDescent="0.2">
      <c r="C45" s="212"/>
      <c r="E45" s="79"/>
      <c r="F45" s="165"/>
      <c r="J45" s="91"/>
      <c r="K45" s="96"/>
      <c r="L45" s="96"/>
      <c r="M45" s="93"/>
    </row>
    <row r="46" spans="1:14" s="56" customFormat="1" x14ac:dyDescent="0.2">
      <c r="C46" s="26"/>
      <c r="E46" s="97"/>
      <c r="F46" s="97"/>
      <c r="J46" s="91"/>
      <c r="K46" s="96"/>
      <c r="L46" s="96"/>
      <c r="M46" s="93"/>
      <c r="N46" s="95"/>
    </row>
    <row r="47" spans="1:14" s="56" customFormat="1" ht="15.75" x14ac:dyDescent="0.2">
      <c r="F47" s="30"/>
      <c r="J47" s="91"/>
      <c r="K47" s="96"/>
      <c r="L47" s="96"/>
      <c r="M47" s="93"/>
      <c r="N47" s="95"/>
    </row>
    <row r="48" spans="1:14" s="56" customFormat="1" ht="15.75" x14ac:dyDescent="0.2">
      <c r="C48" s="1079"/>
      <c r="D48" s="1079"/>
      <c r="F48" s="30"/>
      <c r="J48" s="91"/>
      <c r="K48" s="96"/>
      <c r="L48" s="96"/>
      <c r="M48" s="93"/>
      <c r="N48" s="95"/>
    </row>
    <row r="49" spans="6:14" s="56" customFormat="1" ht="15.75" x14ac:dyDescent="0.2">
      <c r="F49" s="30"/>
      <c r="G49" s="26"/>
      <c r="H49" s="26"/>
      <c r="J49" s="91"/>
      <c r="K49" s="96"/>
      <c r="L49" s="96"/>
      <c r="M49" s="93"/>
      <c r="N49" s="95"/>
    </row>
    <row r="50" spans="6:14" s="56" customFormat="1" ht="15.75" x14ac:dyDescent="0.2">
      <c r="F50" s="30"/>
      <c r="G50" s="98"/>
      <c r="H50" s="98"/>
      <c r="I50" s="26"/>
      <c r="J50" s="91"/>
      <c r="K50" s="96"/>
      <c r="L50" s="96"/>
      <c r="M50" s="93"/>
      <c r="N50" s="95"/>
    </row>
    <row r="51" spans="6:14" ht="15.75" x14ac:dyDescent="0.2">
      <c r="F51" s="30"/>
      <c r="G51" s="98"/>
      <c r="H51" s="98"/>
      <c r="J51" s="91"/>
      <c r="K51" s="96"/>
      <c r="L51" s="96"/>
      <c r="M51" s="93"/>
      <c r="N51" s="100"/>
    </row>
    <row r="52" spans="6:14" ht="15.75" x14ac:dyDescent="0.2">
      <c r="F52" s="30"/>
      <c r="G52" s="98"/>
      <c r="H52" s="98"/>
      <c r="J52" s="91"/>
      <c r="K52" s="96"/>
      <c r="L52" s="96"/>
      <c r="M52" s="93"/>
      <c r="N52" s="100"/>
    </row>
    <row r="53" spans="6:14" ht="15.75" x14ac:dyDescent="0.2">
      <c r="F53" s="30"/>
      <c r="J53" s="91"/>
      <c r="K53" s="96"/>
      <c r="L53" s="96"/>
      <c r="M53" s="93"/>
      <c r="N53" s="100"/>
    </row>
    <row r="54" spans="6:14" ht="15.75" x14ac:dyDescent="0.2">
      <c r="F54" s="30"/>
      <c r="J54" s="91"/>
      <c r="K54" s="96"/>
      <c r="L54" s="96"/>
      <c r="M54" s="93"/>
      <c r="N54" s="100"/>
    </row>
    <row r="55" spans="6:14" ht="15.75" x14ac:dyDescent="0.2">
      <c r="F55" s="30"/>
      <c r="J55" s="91"/>
      <c r="K55" s="96"/>
      <c r="L55" s="96"/>
      <c r="M55" s="93"/>
      <c r="N55" s="100"/>
    </row>
    <row r="56" spans="6:14" x14ac:dyDescent="0.2">
      <c r="F56" s="99"/>
      <c r="J56" s="91"/>
      <c r="K56" s="96"/>
      <c r="L56" s="96"/>
      <c r="M56" s="93"/>
      <c r="N56" s="100"/>
    </row>
    <row r="57" spans="6:14" x14ac:dyDescent="0.2">
      <c r="F57" s="99"/>
      <c r="J57" s="91"/>
      <c r="K57" s="96"/>
      <c r="L57" s="96"/>
      <c r="M57" s="93"/>
      <c r="N57" s="100"/>
    </row>
    <row r="58" spans="6:14" x14ac:dyDescent="0.2">
      <c r="J58" s="91"/>
      <c r="K58" s="96"/>
      <c r="L58" s="96"/>
      <c r="M58" s="93"/>
      <c r="N58" s="100"/>
    </row>
    <row r="59" spans="6:14" x14ac:dyDescent="0.2">
      <c r="J59" s="91"/>
      <c r="K59" s="96"/>
      <c r="L59" s="96"/>
      <c r="M59" s="93"/>
      <c r="N59" s="100"/>
    </row>
    <row r="60" spans="6:14" x14ac:dyDescent="0.2">
      <c r="J60" s="91"/>
      <c r="K60" s="96"/>
      <c r="L60" s="96"/>
      <c r="M60" s="93"/>
      <c r="N60" s="100"/>
    </row>
    <row r="61" spans="6:14" x14ac:dyDescent="0.2">
      <c r="J61" s="91"/>
      <c r="K61" s="96"/>
      <c r="L61" s="96"/>
      <c r="M61" s="93"/>
      <c r="N61" s="100"/>
    </row>
    <row r="62" spans="6:14" x14ac:dyDescent="0.2">
      <c r="J62" s="91"/>
      <c r="K62" s="96"/>
      <c r="L62" s="96"/>
      <c r="M62" s="93"/>
      <c r="N62" s="100"/>
    </row>
    <row r="63" spans="6:14" x14ac:dyDescent="0.2">
      <c r="J63" s="91"/>
      <c r="K63" s="96"/>
      <c r="L63" s="96"/>
      <c r="M63" s="93"/>
      <c r="N63" s="100"/>
    </row>
    <row r="64" spans="6:14" x14ac:dyDescent="0.2">
      <c r="J64" s="91"/>
      <c r="K64" s="96"/>
      <c r="L64" s="96"/>
      <c r="M64" s="93"/>
      <c r="N64" s="100"/>
    </row>
    <row r="65" spans="10:14" x14ac:dyDescent="0.2">
      <c r="J65" s="91"/>
      <c r="K65" s="96"/>
      <c r="L65" s="96"/>
      <c r="M65" s="93"/>
      <c r="N65" s="100"/>
    </row>
    <row r="66" spans="10:14" x14ac:dyDescent="0.2">
      <c r="J66" s="91"/>
      <c r="K66" s="96"/>
      <c r="L66" s="96"/>
      <c r="M66" s="93"/>
      <c r="N66" s="100"/>
    </row>
    <row r="67" spans="10:14" x14ac:dyDescent="0.2">
      <c r="J67" s="91"/>
      <c r="K67" s="96"/>
      <c r="L67" s="96"/>
      <c r="M67" s="93"/>
      <c r="N67" s="100"/>
    </row>
    <row r="68" spans="10:14" x14ac:dyDescent="0.2">
      <c r="J68" s="91"/>
      <c r="K68" s="96"/>
      <c r="L68" s="96"/>
      <c r="M68" s="93"/>
      <c r="N68" s="100"/>
    </row>
    <row r="69" spans="10:14" x14ac:dyDescent="0.2">
      <c r="J69" s="91"/>
      <c r="K69" s="96"/>
      <c r="L69" s="96"/>
      <c r="M69" s="93"/>
      <c r="N69" s="100"/>
    </row>
    <row r="70" spans="10:14" x14ac:dyDescent="0.2">
      <c r="J70" s="91"/>
      <c r="K70" s="96"/>
      <c r="L70" s="96"/>
      <c r="M70" s="93"/>
      <c r="N70" s="100"/>
    </row>
    <row r="71" spans="10:14" x14ac:dyDescent="0.2">
      <c r="J71" s="91"/>
      <c r="K71" s="96"/>
      <c r="L71" s="96"/>
      <c r="M71" s="93"/>
      <c r="N71" s="100"/>
    </row>
    <row r="72" spans="10:14" x14ac:dyDescent="0.2">
      <c r="J72" s="91"/>
      <c r="K72" s="96"/>
      <c r="L72" s="96"/>
      <c r="M72" s="93"/>
      <c r="N72" s="100"/>
    </row>
    <row r="73" spans="10:14" x14ac:dyDescent="0.2">
      <c r="J73" s="91"/>
      <c r="K73" s="96"/>
      <c r="L73" s="96"/>
      <c r="M73" s="93"/>
      <c r="N73" s="100"/>
    </row>
    <row r="74" spans="10:14" x14ac:dyDescent="0.2">
      <c r="J74" s="91"/>
      <c r="K74" s="96"/>
      <c r="L74" s="96"/>
      <c r="M74" s="93"/>
      <c r="N74" s="100"/>
    </row>
    <row r="75" spans="10:14" x14ac:dyDescent="0.2">
      <c r="J75" s="91"/>
      <c r="K75" s="96"/>
      <c r="L75" s="96"/>
      <c r="M75" s="93"/>
      <c r="N75" s="100"/>
    </row>
    <row r="76" spans="10:14" x14ac:dyDescent="0.2">
      <c r="J76" s="91"/>
      <c r="K76" s="96"/>
      <c r="L76" s="96"/>
      <c r="M76" s="93"/>
      <c r="N76" s="100"/>
    </row>
    <row r="77" spans="10:14" x14ac:dyDescent="0.2">
      <c r="J77" s="91"/>
      <c r="K77" s="96"/>
      <c r="L77" s="96"/>
      <c r="M77" s="93"/>
      <c r="N77" s="100"/>
    </row>
    <row r="78" spans="10:14" x14ac:dyDescent="0.2">
      <c r="J78" s="91"/>
      <c r="K78" s="96"/>
      <c r="L78" s="96"/>
      <c r="M78" s="93"/>
      <c r="N78" s="100"/>
    </row>
    <row r="79" spans="10:14" x14ac:dyDescent="0.2">
      <c r="J79" s="91"/>
      <c r="K79" s="96"/>
      <c r="L79" s="96"/>
      <c r="M79" s="93"/>
      <c r="N79" s="100"/>
    </row>
  </sheetData>
  <mergeCells count="2">
    <mergeCell ref="C8:F8"/>
    <mergeCell ref="C48:D48"/>
  </mergeCells>
  <conditionalFormatting sqref="F11 F13:F15 F19:F22 F45">
    <cfRule type="cellIs" dxfId="74" priority="39" operator="equal">
      <formula>"KO"</formula>
    </cfRule>
    <cfRule type="cellIs" dxfId="73" priority="40" operator="equal">
      <formula>"OK"</formula>
    </cfRule>
  </conditionalFormatting>
  <conditionalFormatting sqref="F17">
    <cfRule type="cellIs" dxfId="72" priority="33" operator="equal">
      <formula>"KO"</formula>
    </cfRule>
    <cfRule type="cellIs" dxfId="71" priority="34" operator="equal">
      <formula>"OK"</formula>
    </cfRule>
  </conditionalFormatting>
  <conditionalFormatting sqref="F24">
    <cfRule type="cellIs" dxfId="70" priority="31" operator="equal">
      <formula>"KO"</formula>
    </cfRule>
    <cfRule type="cellIs" dxfId="69" priority="32" operator="equal">
      <formula>"OK"</formula>
    </cfRule>
  </conditionalFormatting>
  <conditionalFormatting sqref="F26">
    <cfRule type="cellIs" dxfId="68" priority="29" operator="equal">
      <formula>"KO"</formula>
    </cfRule>
    <cfRule type="cellIs" dxfId="67" priority="30" operator="equal">
      <formula>"OK"</formula>
    </cfRule>
  </conditionalFormatting>
  <conditionalFormatting sqref="F28">
    <cfRule type="cellIs" dxfId="66" priority="19" operator="equal">
      <formula>"KO"</formula>
    </cfRule>
    <cfRule type="cellIs" dxfId="65" priority="20" operator="equal">
      <formula>"OK"</formula>
    </cfRule>
  </conditionalFormatting>
  <conditionalFormatting sqref="F30:F31">
    <cfRule type="cellIs" dxfId="64" priority="17" operator="equal">
      <formula>"KO"</formula>
    </cfRule>
    <cfRule type="cellIs" dxfId="63" priority="18" operator="equal">
      <formula>"OK"</formula>
    </cfRule>
  </conditionalFormatting>
  <conditionalFormatting sqref="F33">
    <cfRule type="cellIs" dxfId="62" priority="21" operator="equal">
      <formula>"KO"</formula>
    </cfRule>
    <cfRule type="cellIs" dxfId="61" priority="22" operator="equal">
      <formula>"OK"</formula>
    </cfRule>
  </conditionalFormatting>
  <conditionalFormatting sqref="F35:F37">
    <cfRule type="cellIs" dxfId="60" priority="23" operator="equal">
      <formula>"KO"</formula>
    </cfRule>
    <cfRule type="cellIs" dxfId="59" priority="24" operator="equal">
      <formula>"OK"</formula>
    </cfRule>
  </conditionalFormatting>
  <conditionalFormatting sqref="F39">
    <cfRule type="cellIs" dxfId="58" priority="5" operator="equal">
      <formula>"Yes"</formula>
    </cfRule>
    <cfRule type="cellIs" dxfId="57" priority="6" operator="equal">
      <formula>"No"</formula>
    </cfRule>
  </conditionalFormatting>
  <conditionalFormatting sqref="F41">
    <cfRule type="cellIs" dxfId="56" priority="3" operator="equal">
      <formula>"Yes"</formula>
    </cfRule>
    <cfRule type="cellIs" dxfId="55" priority="4" operator="equal">
      <formula>"No"</formula>
    </cfRule>
  </conditionalFormatting>
  <conditionalFormatting sqref="F43">
    <cfRule type="cellIs" dxfId="54" priority="1" operator="equal">
      <formula>"KO"</formula>
    </cfRule>
    <cfRule type="cellIs" dxfId="53" priority="2" operator="equal">
      <formula>"OK"</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91A-845A-4DAF-A6D9-F95EB3740F33}">
  <dimension ref="A1:AS28"/>
  <sheetViews>
    <sheetView tabSelected="1" workbookViewId="0">
      <selection activeCell="F21" sqref="F21"/>
    </sheetView>
  </sheetViews>
  <sheetFormatPr defaultColWidth="9.140625" defaultRowHeight="12.75" x14ac:dyDescent="0.2"/>
  <cols>
    <col min="1" max="1" width="8.28515625" style="934" bestFit="1" customWidth="1"/>
    <col min="2" max="2" width="6.42578125" style="934" bestFit="1" customWidth="1"/>
    <col min="3" max="3" width="13.28515625" style="934" bestFit="1" customWidth="1"/>
    <col min="4" max="4" width="13.140625" style="934" bestFit="1" customWidth="1"/>
    <col min="5" max="6" width="43" style="934" bestFit="1" customWidth="1"/>
    <col min="7" max="7" width="24.140625" style="934" bestFit="1" customWidth="1"/>
    <col min="8" max="8" width="30.5703125" style="934" bestFit="1" customWidth="1"/>
    <col min="9" max="9" width="27.85546875" style="934" customWidth="1"/>
    <col min="10" max="11" width="3.7109375" style="934" hidden="1" customWidth="1"/>
    <col min="12" max="12" width="28.28515625" style="934" bestFit="1" customWidth="1"/>
    <col min="13" max="13" width="10.140625" style="934" bestFit="1" customWidth="1"/>
    <col min="14" max="14" width="21" style="934" bestFit="1" customWidth="1"/>
    <col min="15" max="15" width="30.5703125" style="934" bestFit="1" customWidth="1"/>
    <col min="16" max="16" width="30.28515625" style="934" bestFit="1" customWidth="1"/>
    <col min="17" max="17" width="23.28515625" style="934" bestFit="1" customWidth="1"/>
    <col min="18" max="18" width="6" style="934" bestFit="1" customWidth="1"/>
    <col min="19" max="19" width="5.28515625" style="934" bestFit="1" customWidth="1"/>
    <col min="20" max="20" width="11.28515625" style="934" bestFit="1" customWidth="1"/>
    <col min="21" max="21" width="33" style="934" bestFit="1" customWidth="1"/>
    <col min="22" max="22" width="20.85546875" style="934" bestFit="1" customWidth="1"/>
    <col min="23" max="23" width="7.42578125" style="934" hidden="1" customWidth="1"/>
    <col min="24" max="24" width="11.28515625" style="934" hidden="1" customWidth="1"/>
    <col min="25" max="25" width="35" style="934" bestFit="1" customWidth="1"/>
    <col min="26" max="26" width="44.7109375" style="934" bestFit="1" customWidth="1"/>
    <col min="27" max="27" width="17.28515625" style="934" bestFit="1" customWidth="1"/>
    <col min="28" max="28" width="9.140625" style="934"/>
    <col min="29" max="29" width="165.5703125" style="934" bestFit="1" customWidth="1"/>
    <col min="30" max="34" width="9.140625" style="934"/>
    <col min="35" max="35" width="10" style="934" bestFit="1" customWidth="1"/>
    <col min="36" max="36" width="9.140625" style="934"/>
    <col min="37" max="37" width="27" style="934" customWidth="1"/>
    <col min="38" max="38" width="6.7109375" style="934" bestFit="1" customWidth="1"/>
    <col min="39" max="39" width="30.5703125" style="934" bestFit="1" customWidth="1"/>
    <col min="40" max="40" width="9.140625" style="934"/>
    <col min="41" max="41" width="21" style="934" bestFit="1" customWidth="1"/>
    <col min="42" max="42" width="23.7109375" style="934" bestFit="1" customWidth="1"/>
    <col min="43" max="43" width="6" style="934" bestFit="1" customWidth="1"/>
    <col min="44" max="44" width="5.28515625" style="934" bestFit="1" customWidth="1"/>
    <col min="45" max="45" width="11.85546875" style="934" bestFit="1" customWidth="1"/>
    <col min="46" max="16384" width="9.140625" style="934"/>
  </cols>
  <sheetData>
    <row r="1" spans="1:45" ht="20.25" x14ac:dyDescent="0.3">
      <c r="A1" s="1234" t="s">
        <v>1583</v>
      </c>
      <c r="B1" s="1234"/>
      <c r="C1" s="1234"/>
      <c r="D1" s="1234"/>
      <c r="E1" s="1234"/>
      <c r="F1" s="1234"/>
      <c r="G1" s="1234"/>
      <c r="H1" s="1234"/>
      <c r="I1" s="1234"/>
      <c r="J1" s="1234"/>
      <c r="K1" s="1234"/>
      <c r="L1" s="1234"/>
      <c r="M1" s="1234"/>
      <c r="N1" s="946"/>
    </row>
    <row r="2" spans="1:45" x14ac:dyDescent="0.2">
      <c r="A2" s="945">
        <v>1</v>
      </c>
      <c r="B2" s="945">
        <v>2</v>
      </c>
      <c r="C2" s="945">
        <v>3</v>
      </c>
      <c r="D2" s="945">
        <v>4</v>
      </c>
      <c r="E2" s="945">
        <v>5</v>
      </c>
      <c r="F2" s="945">
        <v>6</v>
      </c>
      <c r="G2" s="945">
        <v>7</v>
      </c>
      <c r="H2" s="945">
        <v>8</v>
      </c>
      <c r="I2" s="945">
        <v>9</v>
      </c>
      <c r="J2" s="945">
        <v>10</v>
      </c>
      <c r="K2" s="945">
        <v>11</v>
      </c>
      <c r="L2" s="945">
        <v>12</v>
      </c>
      <c r="M2" s="945">
        <v>13</v>
      </c>
      <c r="N2" s="945">
        <v>14</v>
      </c>
      <c r="O2" s="945">
        <v>15</v>
      </c>
      <c r="P2" s="945">
        <v>16</v>
      </c>
      <c r="Q2" s="945">
        <v>17</v>
      </c>
      <c r="R2" s="945">
        <v>18</v>
      </c>
      <c r="S2" s="945">
        <v>19</v>
      </c>
      <c r="T2" s="945">
        <v>20</v>
      </c>
      <c r="U2" s="945">
        <v>21</v>
      </c>
      <c r="V2" s="945">
        <v>22</v>
      </c>
      <c r="W2" s="945">
        <v>23</v>
      </c>
      <c r="X2" s="945">
        <v>24</v>
      </c>
      <c r="Y2" s="945">
        <v>25</v>
      </c>
      <c r="Z2" s="945">
        <v>26</v>
      </c>
      <c r="AA2" s="945">
        <v>27</v>
      </c>
    </row>
    <row r="3" spans="1:45" x14ac:dyDescent="0.2">
      <c r="A3" s="940" t="s">
        <v>1582</v>
      </c>
      <c r="B3" s="940" t="s">
        <v>1561</v>
      </c>
      <c r="C3" s="938" t="s">
        <v>1581</v>
      </c>
      <c r="D3" s="944" t="s">
        <v>1580</v>
      </c>
      <c r="E3" s="940" t="s">
        <v>1579</v>
      </c>
      <c r="F3" s="940" t="s">
        <v>1578</v>
      </c>
      <c r="G3" s="940" t="s">
        <v>1577</v>
      </c>
      <c r="H3" s="940" t="s">
        <v>1576</v>
      </c>
      <c r="I3" s="938" t="s">
        <v>1575</v>
      </c>
      <c r="J3" s="940"/>
      <c r="K3" s="938"/>
      <c r="L3" s="940" t="s">
        <v>1574</v>
      </c>
      <c r="M3" s="938" t="s">
        <v>1573</v>
      </c>
      <c r="N3" s="938" t="s">
        <v>1572</v>
      </c>
      <c r="O3" s="937" t="s">
        <v>1571</v>
      </c>
      <c r="P3" s="936" t="s">
        <v>1570</v>
      </c>
      <c r="Q3" s="936" t="s">
        <v>1558</v>
      </c>
      <c r="R3" s="936" t="s">
        <v>1557</v>
      </c>
      <c r="S3" s="936" t="s">
        <v>1556</v>
      </c>
      <c r="T3" s="936" t="s">
        <v>1555</v>
      </c>
      <c r="U3" s="937" t="s">
        <v>1569</v>
      </c>
      <c r="V3" s="936" t="s">
        <v>1568</v>
      </c>
      <c r="W3" s="936" t="s">
        <v>1567</v>
      </c>
      <c r="X3" s="936" t="s">
        <v>1555</v>
      </c>
      <c r="Y3" s="936" t="s">
        <v>1566</v>
      </c>
      <c r="Z3" s="936" t="s">
        <v>1565</v>
      </c>
      <c r="AA3" s="936" t="s">
        <v>1564</v>
      </c>
      <c r="AC3" s="934" t="str">
        <f t="array" aca="1" ref="AC3" ca="1">CELL("filename")</f>
        <v>Y:\FONDS\1_FONDS SOUS GESTION\00 - FCT\FCT FRENCH PRIME CASH 2023\04 - MR\01 - Diffusion\Management Report\2024\2024 10 25\[FCT French Prime Cash - Management Report - 25 10 2024.xlsx]Instructions</v>
      </c>
    </row>
    <row r="4" spans="1:45" x14ac:dyDescent="0.2">
      <c r="A4" s="940" t="s">
        <v>1554</v>
      </c>
      <c r="B4" s="940" t="s">
        <v>687</v>
      </c>
      <c r="C4" s="939">
        <f>Instructions!J2</f>
        <v>45590</v>
      </c>
      <c r="D4" s="941">
        <f>Instructions!E2</f>
        <v>69180.350000000006</v>
      </c>
      <c r="E4" s="940" t="str">
        <f>Instructions!U2</f>
        <v>FCT French prime cash 2023 COMPTE GENERAL</v>
      </c>
      <c r="F4" s="940" t="str">
        <f>E4</f>
        <v>FCT French prime cash 2023 COMPTE GENERAL</v>
      </c>
      <c r="G4" s="940" t="str">
        <f>Instructions!V2</f>
        <v>BNP PARIBAS</v>
      </c>
      <c r="H4" s="940" t="str">
        <f>_xlfn.XLOOKUP(L4,Instructions!$L$21:$L$25,Instructions!$N$21:$N$25)</f>
        <v>41329000010000479328U</v>
      </c>
      <c r="I4" s="938" t="s">
        <v>1548</v>
      </c>
      <c r="J4" s="940"/>
      <c r="K4" s="938"/>
      <c r="L4" s="940" t="str">
        <f>Instructions!L2</f>
        <v>FCH PRIME CASH 23 RES AC</v>
      </c>
      <c r="M4" s="939">
        <f ca="1">TODAY()</f>
        <v>45590</v>
      </c>
      <c r="N4" s="938" t="s">
        <v>1596</v>
      </c>
      <c r="O4" s="937" t="str">
        <f>H4</f>
        <v>41329000010000479328U</v>
      </c>
      <c r="P4" s="936" t="str">
        <f>A4</f>
        <v>PARBFR</v>
      </c>
      <c r="Q4" s="936" t="str">
        <f>AP$5</f>
        <v>92 AVENUE DE WAGRAM</v>
      </c>
      <c r="R4" s="936" t="str">
        <f>$AQ$5</f>
        <v>75017</v>
      </c>
      <c r="S4" s="936" t="str">
        <f>$AR$5</f>
        <v>Paris</v>
      </c>
      <c r="T4" s="936" t="str">
        <f>$AS$5</f>
        <v>FRANCE FR</v>
      </c>
      <c r="U4" s="937" t="str">
        <f>Instructions!X2</f>
        <v>FR04 4132 9000 0100 0047 9325 K50</v>
      </c>
      <c r="V4" s="936" t="str">
        <f>Instructions!W2</f>
        <v>PARBFRPP</v>
      </c>
      <c r="W4" s="936"/>
      <c r="X4" s="936"/>
      <c r="Y4" s="936" t="str">
        <f>Instructions!G2</f>
        <v>Transfert Financial Income Reserve to General</v>
      </c>
      <c r="Z4" s="936" t="str">
        <f>E4</f>
        <v>FCT French prime cash 2023 COMPTE GENERAL</v>
      </c>
      <c r="AA4" s="936" t="s">
        <v>1547</v>
      </c>
      <c r="AE4" s="943"/>
      <c r="AF4" s="943"/>
      <c r="AG4" s="943"/>
      <c r="AH4" s="943"/>
      <c r="AI4" s="935" t="s">
        <v>1563</v>
      </c>
      <c r="AJ4" s="1235" t="s">
        <v>1562</v>
      </c>
      <c r="AK4" s="1236"/>
      <c r="AL4" s="935" t="s">
        <v>1561</v>
      </c>
      <c r="AM4" s="935" t="s">
        <v>1560</v>
      </c>
      <c r="AO4" s="935" t="s">
        <v>1559</v>
      </c>
      <c r="AP4" s="935" t="s">
        <v>1558</v>
      </c>
      <c r="AQ4" s="935" t="s">
        <v>1557</v>
      </c>
      <c r="AR4" s="935" t="s">
        <v>1556</v>
      </c>
      <c r="AS4" s="935" t="s">
        <v>1555</v>
      </c>
    </row>
    <row r="5" spans="1:45" x14ac:dyDescent="0.2">
      <c r="A5" s="940" t="s">
        <v>1554</v>
      </c>
      <c r="B5" s="940" t="s">
        <v>687</v>
      </c>
      <c r="C5" s="939">
        <f>Instructions!J3</f>
        <v>45590</v>
      </c>
      <c r="D5" s="941">
        <f>Instructions!E3</f>
        <v>18354315.369999994</v>
      </c>
      <c r="E5" s="940" t="str">
        <f>Instructions!U3</f>
        <v>FCT French prime cash 2023 COMPTE PRINCIPAL</v>
      </c>
      <c r="F5" s="940" t="str">
        <f t="shared" ref="F5:F15" si="0">E5</f>
        <v>FCT French prime cash 2023 COMPTE PRINCIPAL</v>
      </c>
      <c r="G5" s="940" t="str">
        <f>Instructions!V3</f>
        <v>BNP PARIBAS</v>
      </c>
      <c r="H5" s="940" t="str">
        <f>_xlfn.XLOOKUP(L5,Instructions!$L$21:$L$25,Instructions!$N$21:$N$25)</f>
        <v>41329000010000479325K</v>
      </c>
      <c r="I5" s="938" t="s">
        <v>1548</v>
      </c>
      <c r="J5" s="940"/>
      <c r="K5" s="938"/>
      <c r="L5" s="940" t="str">
        <f>Instructions!L3</f>
        <v>FCH PRIME CASH 23 GEN AC</v>
      </c>
      <c r="M5" s="939">
        <f t="shared" ref="M5:M17" ca="1" si="1">TODAY()</f>
        <v>45590</v>
      </c>
      <c r="N5" s="938" t="s">
        <v>1596</v>
      </c>
      <c r="O5" s="937" t="str">
        <f t="shared" ref="O5:O13" si="2">H5</f>
        <v>41329000010000479325K</v>
      </c>
      <c r="P5" s="936" t="str">
        <f t="shared" ref="P5:P13" si="3">A5</f>
        <v>PARBFR</v>
      </c>
      <c r="Q5" s="936" t="str">
        <f t="shared" ref="Q5:Q13" si="4">AP$5</f>
        <v>92 AVENUE DE WAGRAM</v>
      </c>
      <c r="R5" s="936" t="str">
        <f t="shared" ref="R5:R17" si="5">$AQ$5</f>
        <v>75017</v>
      </c>
      <c r="S5" s="936" t="str">
        <f t="shared" ref="S5:S17" si="6">$AR$5</f>
        <v>Paris</v>
      </c>
      <c r="T5" s="936" t="str">
        <f t="shared" ref="T5:T17" si="7">$AS$5</f>
        <v>FRANCE FR</v>
      </c>
      <c r="U5" s="937" t="str">
        <f>Instructions!X3</f>
        <v>FR71 4132 9000 0100 0047 9327 R66</v>
      </c>
      <c r="V5" s="936" t="str">
        <f>Instructions!W3</f>
        <v>PARBFRPP</v>
      </c>
      <c r="W5" s="936"/>
      <c r="X5" s="936"/>
      <c r="Y5" s="936" t="str">
        <f>Instructions!G3</f>
        <v>Transfert General to Principal</v>
      </c>
      <c r="Z5" s="936" t="str">
        <f t="shared" ref="Z5:Z13" si="8">E5</f>
        <v>FCT French prime cash 2023 COMPTE PRINCIPAL</v>
      </c>
      <c r="AA5" s="936" t="s">
        <v>1547</v>
      </c>
      <c r="AE5" s="1237" t="s">
        <v>1606</v>
      </c>
      <c r="AF5" s="1237"/>
      <c r="AG5" s="1237"/>
      <c r="AH5" s="1237"/>
      <c r="AI5" s="942" t="s">
        <v>1554</v>
      </c>
      <c r="AJ5" s="1238" t="s">
        <v>1607</v>
      </c>
      <c r="AK5" s="1239"/>
      <c r="AL5" s="942" t="s">
        <v>687</v>
      </c>
      <c r="AM5" s="942" t="s">
        <v>1553</v>
      </c>
      <c r="AO5" s="942" t="s">
        <v>1552</v>
      </c>
      <c r="AP5" s="942" t="s">
        <v>1551</v>
      </c>
      <c r="AQ5" s="942" t="s">
        <v>1550</v>
      </c>
      <c r="AR5" s="942" t="s">
        <v>1271</v>
      </c>
      <c r="AS5" s="942" t="s">
        <v>1549</v>
      </c>
    </row>
    <row r="6" spans="1:45" x14ac:dyDescent="0.2">
      <c r="A6" s="940" t="s">
        <v>1554</v>
      </c>
      <c r="B6" s="940" t="s">
        <v>687</v>
      </c>
      <c r="C6" s="939">
        <f>Instructions!J4</f>
        <v>45590</v>
      </c>
      <c r="D6" s="941">
        <f>Instructions!E4</f>
        <v>12440426.0821</v>
      </c>
      <c r="E6" s="940" t="str">
        <f>Instructions!U4</f>
        <v>FCT French prime cash 2023 COMPTE INTERETS</v>
      </c>
      <c r="F6" s="940" t="str">
        <f t="shared" si="0"/>
        <v>FCT French prime cash 2023 COMPTE INTERETS</v>
      </c>
      <c r="G6" s="940" t="str">
        <f>Instructions!V4</f>
        <v>BNP PARIBAS</v>
      </c>
      <c r="H6" s="940" t="str">
        <f>_xlfn.XLOOKUP(L6,Instructions!$L$21:$L$25,Instructions!$N$21:$N$25)</f>
        <v>41329000010000479325K</v>
      </c>
      <c r="I6" s="938" t="s">
        <v>1548</v>
      </c>
      <c r="J6" s="940"/>
      <c r="K6" s="938"/>
      <c r="L6" s="940" t="str">
        <f>Instructions!L4</f>
        <v>FCH PRIME CASH 23 GEN AC</v>
      </c>
      <c r="M6" s="939">
        <f t="shared" ca="1" si="1"/>
        <v>45590</v>
      </c>
      <c r="N6" s="938" t="s">
        <v>1596</v>
      </c>
      <c r="O6" s="937" t="str">
        <f t="shared" si="2"/>
        <v>41329000010000479325K</v>
      </c>
      <c r="P6" s="936" t="str">
        <f t="shared" si="3"/>
        <v>PARBFR</v>
      </c>
      <c r="Q6" s="936" t="str">
        <f t="shared" si="4"/>
        <v>92 AVENUE DE WAGRAM</v>
      </c>
      <c r="R6" s="936" t="str">
        <f t="shared" si="5"/>
        <v>75017</v>
      </c>
      <c r="S6" s="936" t="str">
        <f t="shared" si="6"/>
        <v>Paris</v>
      </c>
      <c r="T6" s="936" t="str">
        <f t="shared" si="7"/>
        <v>FRANCE FR</v>
      </c>
      <c r="U6" s="937" t="str">
        <f>Instructions!X4</f>
        <v>FR86 4132 9000 0100 0047 9326 M14</v>
      </c>
      <c r="V6" s="936" t="str">
        <f>Instructions!W4</f>
        <v>PARBFRPP</v>
      </c>
      <c r="W6" s="936"/>
      <c r="X6" s="936"/>
      <c r="Y6" s="936" t="str">
        <f>Instructions!G4</f>
        <v>Transfert General to Compte interets</v>
      </c>
      <c r="Z6" s="936" t="str">
        <f t="shared" si="8"/>
        <v>FCT French prime cash 2023 COMPTE INTERETS</v>
      </c>
      <c r="AA6" s="936" t="s">
        <v>1547</v>
      </c>
      <c r="AE6" s="1240"/>
      <c r="AF6" s="1241"/>
      <c r="AG6" s="1241"/>
      <c r="AH6" s="1242"/>
      <c r="AI6" s="942"/>
      <c r="AJ6" s="1238"/>
      <c r="AK6" s="1239"/>
      <c r="AL6" s="942"/>
      <c r="AM6" s="942"/>
      <c r="AO6" s="942"/>
      <c r="AP6" s="942"/>
      <c r="AQ6" s="942"/>
      <c r="AR6" s="942"/>
      <c r="AS6" s="942"/>
    </row>
    <row r="7" spans="1:45" x14ac:dyDescent="0.2">
      <c r="A7" s="940" t="s">
        <v>1554</v>
      </c>
      <c r="B7" s="940" t="s">
        <v>687</v>
      </c>
      <c r="C7" s="939">
        <f>Instructions!J5</f>
        <v>45590</v>
      </c>
      <c r="D7" s="941">
        <f>Instructions!E5</f>
        <v>404905.4</v>
      </c>
      <c r="E7" s="940" t="str">
        <f>Instructions!U5</f>
        <v>BNP PARIBAS PARIS BRANCH</v>
      </c>
      <c r="F7" s="940" t="str">
        <f t="shared" si="0"/>
        <v>BNP PARIBAS PARIS BRANCH</v>
      </c>
      <c r="G7" s="940" t="str">
        <f>Instructions!V5</f>
        <v>BNP PARIBAS SA</v>
      </c>
      <c r="H7" s="940" t="str">
        <f>_xlfn.XLOOKUP(L7,Instructions!$L$21:$L$25,Instructions!$N$21:$N$25)</f>
        <v>41329000010000479326M</v>
      </c>
      <c r="I7" s="938" t="s">
        <v>1548</v>
      </c>
      <c r="J7" s="940"/>
      <c r="K7" s="938"/>
      <c r="L7" s="940" t="str">
        <f>Instructions!L5</f>
        <v>FCH PRIME CASH 23 INT AC</v>
      </c>
      <c r="M7" s="939">
        <f t="shared" ca="1" si="1"/>
        <v>45590</v>
      </c>
      <c r="N7" s="938" t="s">
        <v>1596</v>
      </c>
      <c r="O7" s="937" t="str">
        <f t="shared" si="2"/>
        <v>41329000010000479326M</v>
      </c>
      <c r="P7" s="936" t="str">
        <f t="shared" si="3"/>
        <v>PARBFR</v>
      </c>
      <c r="Q7" s="936" t="str">
        <f t="shared" si="4"/>
        <v>92 AVENUE DE WAGRAM</v>
      </c>
      <c r="R7" s="936" t="str">
        <f t="shared" si="5"/>
        <v>75017</v>
      </c>
      <c r="S7" s="936" t="str">
        <f t="shared" si="6"/>
        <v>Paris</v>
      </c>
      <c r="T7" s="936" t="str">
        <f t="shared" si="7"/>
        <v>FRANCE FR</v>
      </c>
      <c r="U7" s="937" t="str">
        <f>Instructions!X5</f>
        <v>FR9441329000010000047475N27</v>
      </c>
      <c r="V7" s="936" t="str">
        <f>Instructions!W5</f>
        <v>PARBLULLXXX</v>
      </c>
      <c r="W7" s="936"/>
      <c r="X7" s="936"/>
      <c r="Y7" s="936" t="str">
        <f>Instructions!G5</f>
        <v xml:space="preserve">Class A Notes Interest </v>
      </c>
      <c r="Z7" s="936" t="str">
        <f t="shared" si="8"/>
        <v>BNP PARIBAS PARIS BRANCH</v>
      </c>
      <c r="AA7" s="936" t="s">
        <v>1547</v>
      </c>
    </row>
    <row r="8" spans="1:45" x14ac:dyDescent="0.2">
      <c r="A8" s="940" t="s">
        <v>1554</v>
      </c>
      <c r="B8" s="940" t="s">
        <v>687</v>
      </c>
      <c r="C8" s="939">
        <f>Instructions!J6</f>
        <v>45590</v>
      </c>
      <c r="D8" s="941">
        <f>Instructions!E6</f>
        <v>16123.29</v>
      </c>
      <c r="E8" s="940" t="str">
        <f>Instructions!U6</f>
        <v xml:space="preserve">IQ-EQ Management </v>
      </c>
      <c r="F8" s="940" t="str">
        <f t="shared" si="0"/>
        <v xml:space="preserve">IQ-EQ Management </v>
      </c>
      <c r="G8" s="940" t="str">
        <f>Instructions!V6</f>
        <v>HSBC</v>
      </c>
      <c r="H8" s="940" t="str">
        <f>_xlfn.XLOOKUP(L8,Instructions!$L$21:$L$25,Instructions!$N$21:$N$25)</f>
        <v>41329000010000479326M</v>
      </c>
      <c r="I8" s="938" t="s">
        <v>1548</v>
      </c>
      <c r="J8" s="940"/>
      <c r="K8" s="938"/>
      <c r="L8" s="940" t="str">
        <f>Instructions!L6</f>
        <v>FCH PRIME CASH 23 INT AC</v>
      </c>
      <c r="M8" s="939">
        <f t="shared" ca="1" si="1"/>
        <v>45590</v>
      </c>
      <c r="N8" s="938" t="s">
        <v>1596</v>
      </c>
      <c r="O8" s="937" t="str">
        <f t="shared" si="2"/>
        <v>41329000010000479326M</v>
      </c>
      <c r="P8" s="936" t="str">
        <f t="shared" si="3"/>
        <v>PARBFR</v>
      </c>
      <c r="Q8" s="936" t="str">
        <f t="shared" si="4"/>
        <v>92 AVENUE DE WAGRAM</v>
      </c>
      <c r="R8" s="936" t="str">
        <f t="shared" si="5"/>
        <v>75017</v>
      </c>
      <c r="S8" s="936" t="str">
        <f t="shared" si="6"/>
        <v>Paris</v>
      </c>
      <c r="T8" s="936" t="str">
        <f t="shared" si="7"/>
        <v>FRANCE FR</v>
      </c>
      <c r="U8" s="937" t="str">
        <f>Instructions!X6</f>
        <v>FR76 3005 6000 5000 5000 7046 525</v>
      </c>
      <c r="V8" s="936" t="str">
        <f>Instructions!W6</f>
        <v>CCFRFRPPXXX</v>
      </c>
      <c r="W8" s="936"/>
      <c r="X8" s="936"/>
      <c r="Y8" s="936" t="str">
        <f>Instructions!G6</f>
        <v xml:space="preserve">Fees - Management Company </v>
      </c>
      <c r="Z8" s="936" t="str">
        <f t="shared" si="8"/>
        <v xml:space="preserve">IQ-EQ Management </v>
      </c>
      <c r="AA8" s="936" t="s">
        <v>1547</v>
      </c>
    </row>
    <row r="9" spans="1:45" x14ac:dyDescent="0.2">
      <c r="A9" s="940" t="s">
        <v>1554</v>
      </c>
      <c r="B9" s="940" t="s">
        <v>687</v>
      </c>
      <c r="C9" s="939">
        <f>Instructions!J7</f>
        <v>45590</v>
      </c>
      <c r="D9" s="941">
        <f>Instructions!E7</f>
        <v>12711.349999999999</v>
      </c>
      <c r="E9" s="940" t="str">
        <f>Instructions!U7</f>
        <v>BNP PARIBAS SA</v>
      </c>
      <c r="F9" s="940" t="str">
        <f t="shared" si="0"/>
        <v>BNP PARIBAS SA</v>
      </c>
      <c r="G9" s="940" t="str">
        <f>Instructions!V7</f>
        <v>FONDS A RECEVOIR BP2S</v>
      </c>
      <c r="H9" s="940" t="str">
        <f>_xlfn.XLOOKUP(L9,Instructions!$L$21:$L$25,Instructions!$N$21:$N$25)</f>
        <v>41329000010000479326M</v>
      </c>
      <c r="I9" s="938" t="s">
        <v>1548</v>
      </c>
      <c r="J9" s="940"/>
      <c r="K9" s="938"/>
      <c r="L9" s="940" t="str">
        <f>Instructions!L7</f>
        <v>FCH PRIME CASH 23 INT AC</v>
      </c>
      <c r="M9" s="939">
        <f t="shared" ca="1" si="1"/>
        <v>45590</v>
      </c>
      <c r="N9" s="938" t="s">
        <v>1596</v>
      </c>
      <c r="O9" s="937" t="str">
        <f t="shared" si="2"/>
        <v>41329000010000479326M</v>
      </c>
      <c r="P9" s="936" t="str">
        <f t="shared" si="3"/>
        <v>PARBFR</v>
      </c>
      <c r="Q9" s="936" t="str">
        <f t="shared" si="4"/>
        <v>92 AVENUE DE WAGRAM</v>
      </c>
      <c r="R9" s="936" t="str">
        <f t="shared" si="5"/>
        <v>75017</v>
      </c>
      <c r="S9" s="936" t="str">
        <f t="shared" si="6"/>
        <v>Paris</v>
      </c>
      <c r="T9" s="936" t="str">
        <f t="shared" si="7"/>
        <v>FRANCE FR</v>
      </c>
      <c r="U9" s="937" t="str">
        <f>Instructions!X7</f>
        <v>FR77 4132 9000 0100 0008 4086 X22</v>
      </c>
      <c r="V9" s="936" t="str">
        <f>Instructions!W7</f>
        <v>PARBFRPP</v>
      </c>
      <c r="W9" s="936"/>
      <c r="X9" s="936"/>
      <c r="Y9" s="936" t="str">
        <f>Instructions!G7</f>
        <v>Fees - Custodian</v>
      </c>
      <c r="Z9" s="936" t="str">
        <f t="shared" si="8"/>
        <v>BNP PARIBAS SA</v>
      </c>
      <c r="AA9" s="936" t="s">
        <v>1547</v>
      </c>
    </row>
    <row r="10" spans="1:45" x14ac:dyDescent="0.2">
      <c r="A10" s="940" t="s">
        <v>1554</v>
      </c>
      <c r="B10" s="940" t="s">
        <v>687</v>
      </c>
      <c r="C10" s="939">
        <f>Instructions!J8</f>
        <v>45590</v>
      </c>
      <c r="D10" s="941">
        <f>Instructions!E8</f>
        <v>603.27868852459017</v>
      </c>
      <c r="E10" s="940" t="str">
        <f>Instructions!U8</f>
        <v>BNP PARIBAS SA</v>
      </c>
      <c r="F10" s="940" t="str">
        <f t="shared" si="0"/>
        <v>BNP PARIBAS SA</v>
      </c>
      <c r="G10" s="940" t="str">
        <f>Instructions!V8</f>
        <v>BNP PARIBAS SA</v>
      </c>
      <c r="H10" s="940" t="str">
        <f>_xlfn.XLOOKUP(L10,Instructions!$L$21:$L$25,Instructions!$N$21:$N$25)</f>
        <v>41329000010000479326M</v>
      </c>
      <c r="I10" s="938" t="s">
        <v>1548</v>
      </c>
      <c r="J10" s="940"/>
      <c r="K10" s="938"/>
      <c r="L10" s="940" t="str">
        <f>Instructions!L8</f>
        <v>FCH PRIME CASH 23 INT AC</v>
      </c>
      <c r="M10" s="939">
        <f t="shared" ca="1" si="1"/>
        <v>45590</v>
      </c>
      <c r="N10" s="938" t="s">
        <v>1596</v>
      </c>
      <c r="O10" s="937" t="str">
        <f t="shared" si="2"/>
        <v>41329000010000479326M</v>
      </c>
      <c r="P10" s="936" t="str">
        <f t="shared" si="3"/>
        <v>PARBFR</v>
      </c>
      <c r="Q10" s="936" t="str">
        <f t="shared" si="4"/>
        <v>92 AVENUE DE WAGRAM</v>
      </c>
      <c r="R10" s="936" t="str">
        <f t="shared" si="5"/>
        <v>75017</v>
      </c>
      <c r="S10" s="936" t="str">
        <f t="shared" si="6"/>
        <v>Paris</v>
      </c>
      <c r="T10" s="936" t="str">
        <f t="shared" si="7"/>
        <v>FRANCE FR</v>
      </c>
      <c r="U10" s="937" t="str">
        <f>Instructions!X8</f>
        <v>FR14 4132 9000 0100 0008 4182 E58</v>
      </c>
      <c r="V10" s="936" t="str">
        <f>Instructions!W8</f>
        <v>PARBFRPP</v>
      </c>
      <c r="W10" s="936"/>
      <c r="X10" s="936"/>
      <c r="Y10" s="936" t="str">
        <f>Instructions!G8</f>
        <v xml:space="preserve">Fees - FCT Account Bank </v>
      </c>
      <c r="Z10" s="936" t="str">
        <f t="shared" si="8"/>
        <v>BNP PARIBAS SA</v>
      </c>
      <c r="AA10" s="936" t="s">
        <v>1547</v>
      </c>
    </row>
    <row r="11" spans="1:45" x14ac:dyDescent="0.2">
      <c r="A11" s="940" t="s">
        <v>1554</v>
      </c>
      <c r="B11" s="940" t="s">
        <v>687</v>
      </c>
      <c r="C11" s="939">
        <f>Instructions!J9</f>
        <v>45590</v>
      </c>
      <c r="D11" s="941">
        <f>Instructions!E9</f>
        <v>1892.4590163934427</v>
      </c>
      <c r="E11" s="940" t="str">
        <f>Instructions!U9</f>
        <v>BNP PARIBAS SA</v>
      </c>
      <c r="F11" s="940" t="str">
        <f t="shared" si="0"/>
        <v>BNP PARIBAS SA</v>
      </c>
      <c r="G11" s="940" t="str">
        <f>Instructions!V9</f>
        <v>BNP PARIBAS SA</v>
      </c>
      <c r="H11" s="940" t="str">
        <f>_xlfn.XLOOKUP(L11,Instructions!$L$21:$L$25,Instructions!$N$21:$N$25)</f>
        <v>41329000010000479326M</v>
      </c>
      <c r="I11" s="938" t="s">
        <v>1548</v>
      </c>
      <c r="J11" s="940"/>
      <c r="K11" s="938"/>
      <c r="L11" s="940" t="str">
        <f>Instructions!L9</f>
        <v>FCH PRIME CASH 23 INT AC</v>
      </c>
      <c r="M11" s="939">
        <f t="shared" ca="1" si="1"/>
        <v>45590</v>
      </c>
      <c r="N11" s="938" t="s">
        <v>1596</v>
      </c>
      <c r="O11" s="937" t="str">
        <f t="shared" si="2"/>
        <v>41329000010000479326M</v>
      </c>
      <c r="P11" s="936" t="str">
        <f t="shared" si="3"/>
        <v>PARBFR</v>
      </c>
      <c r="Q11" s="936" t="str">
        <f t="shared" si="4"/>
        <v>92 AVENUE DE WAGRAM</v>
      </c>
      <c r="R11" s="936" t="str">
        <f t="shared" si="5"/>
        <v>75017</v>
      </c>
      <c r="S11" s="936" t="str">
        <f t="shared" si="6"/>
        <v>Paris</v>
      </c>
      <c r="T11" s="936" t="str">
        <f t="shared" si="7"/>
        <v>FRANCE FR</v>
      </c>
      <c r="U11" s="937" t="str">
        <f>Instructions!X9</f>
        <v>FR14 4132 9000 0100 0008 4182 E58</v>
      </c>
      <c r="V11" s="936" t="str">
        <f>Instructions!W9</f>
        <v>PARBFRPP</v>
      </c>
      <c r="W11" s="936"/>
      <c r="X11" s="936"/>
      <c r="Y11" s="936" t="str">
        <f>Instructions!G9</f>
        <v>Fees - FCT Paying Agent Fees</v>
      </c>
      <c r="Z11" s="936" t="str">
        <f t="shared" si="8"/>
        <v>BNP PARIBAS SA</v>
      </c>
      <c r="AA11" s="936" t="s">
        <v>1547</v>
      </c>
    </row>
    <row r="12" spans="1:45" x14ac:dyDescent="0.2">
      <c r="A12" s="940" t="s">
        <v>1554</v>
      </c>
      <c r="B12" s="940" t="s">
        <v>687</v>
      </c>
      <c r="C12" s="939">
        <f>Instructions!J10</f>
        <v>45590</v>
      </c>
      <c r="D12" s="941">
        <f>Instructions!E10</f>
        <v>301.63934426229508</v>
      </c>
      <c r="E12" s="940" t="str">
        <f>Instructions!U10</f>
        <v>BNP PARIBAS SA</v>
      </c>
      <c r="F12" s="940" t="str">
        <f t="shared" si="0"/>
        <v>BNP PARIBAS SA</v>
      </c>
      <c r="G12" s="940" t="str">
        <f>Instructions!V10</f>
        <v>BNP PARIBAS SA</v>
      </c>
      <c r="H12" s="940" t="str">
        <f>_xlfn.XLOOKUP(L12,Instructions!$L$21:$L$25,Instructions!$N$21:$N$25)</f>
        <v>41329000010000479326M</v>
      </c>
      <c r="I12" s="938" t="s">
        <v>1548</v>
      </c>
      <c r="J12" s="940"/>
      <c r="K12" s="938"/>
      <c r="L12" s="940" t="str">
        <f>Instructions!L10</f>
        <v>FCH PRIME CASH 23 INT AC</v>
      </c>
      <c r="M12" s="939">
        <f t="shared" ca="1" si="1"/>
        <v>45590</v>
      </c>
      <c r="N12" s="938" t="s">
        <v>1596</v>
      </c>
      <c r="O12" s="937" t="str">
        <f t="shared" si="2"/>
        <v>41329000010000479326M</v>
      </c>
      <c r="P12" s="936" t="str">
        <f t="shared" si="3"/>
        <v>PARBFR</v>
      </c>
      <c r="Q12" s="936" t="str">
        <f t="shared" si="4"/>
        <v>92 AVENUE DE WAGRAM</v>
      </c>
      <c r="R12" s="936" t="str">
        <f t="shared" si="5"/>
        <v>75017</v>
      </c>
      <c r="S12" s="936" t="str">
        <f t="shared" si="6"/>
        <v>Paris</v>
      </c>
      <c r="T12" s="936" t="str">
        <f t="shared" si="7"/>
        <v>FRANCE FR</v>
      </c>
      <c r="U12" s="937" t="str">
        <f>Instructions!X10</f>
        <v>FR14 4132 9000 0100 0008 4182 E58</v>
      </c>
      <c r="V12" s="936" t="str">
        <f>Instructions!W10</f>
        <v>PARBFRPP</v>
      </c>
      <c r="W12" s="936"/>
      <c r="X12" s="936"/>
      <c r="Y12" s="936" t="str">
        <f>Instructions!G10</f>
        <v>Fees - Data Protection Agent</v>
      </c>
      <c r="Z12" s="936" t="str">
        <f t="shared" si="8"/>
        <v>BNP PARIBAS SA</v>
      </c>
      <c r="AA12" s="936" t="s">
        <v>1547</v>
      </c>
    </row>
    <row r="13" spans="1:45" x14ac:dyDescent="0.2">
      <c r="A13" s="940" t="s">
        <v>1554</v>
      </c>
      <c r="B13" s="940" t="s">
        <v>687</v>
      </c>
      <c r="C13" s="939">
        <f>Instructions!J11</f>
        <v>45590</v>
      </c>
      <c r="D13" s="941">
        <f>Instructions!E11</f>
        <v>18354315.369999994</v>
      </c>
      <c r="E13" s="940" t="str">
        <f>Instructions!U11</f>
        <v>BNP PARIBAS PARIS BRANCH</v>
      </c>
      <c r="F13" s="940" t="str">
        <f t="shared" si="0"/>
        <v>BNP PARIBAS PARIS BRANCH</v>
      </c>
      <c r="G13" s="940" t="str">
        <f>Instructions!V11</f>
        <v>BNP PARIBAS SA</v>
      </c>
      <c r="H13" s="940" t="str">
        <f>_xlfn.XLOOKUP(L13,Instructions!$L$21:$L$25,Instructions!$N$21:$N$25)</f>
        <v>41329000010000479327R</v>
      </c>
      <c r="I13" s="938" t="s">
        <v>1548</v>
      </c>
      <c r="J13" s="940"/>
      <c r="K13" s="938"/>
      <c r="L13" s="940" t="str">
        <f>Instructions!L11</f>
        <v>FCH PRIME CASH 23 PP ACC</v>
      </c>
      <c r="M13" s="939">
        <f t="shared" ca="1" si="1"/>
        <v>45590</v>
      </c>
      <c r="N13" s="938" t="s">
        <v>1596</v>
      </c>
      <c r="O13" s="937" t="str">
        <f t="shared" si="2"/>
        <v>41329000010000479327R</v>
      </c>
      <c r="P13" s="936" t="str">
        <f t="shared" si="3"/>
        <v>PARBFR</v>
      </c>
      <c r="Q13" s="936" t="str">
        <f t="shared" si="4"/>
        <v>92 AVENUE DE WAGRAM</v>
      </c>
      <c r="R13" s="936" t="str">
        <f t="shared" si="5"/>
        <v>75017</v>
      </c>
      <c r="S13" s="936" t="str">
        <f t="shared" si="6"/>
        <v>Paris</v>
      </c>
      <c r="T13" s="936" t="str">
        <f t="shared" si="7"/>
        <v>FRANCE FR</v>
      </c>
      <c r="U13" s="937" t="str">
        <f>Instructions!X11</f>
        <v>FR9441329000010000047475N27</v>
      </c>
      <c r="V13" s="936" t="str">
        <f>Instructions!W11</f>
        <v>PARBLULLXXX</v>
      </c>
      <c r="W13" s="936"/>
      <c r="X13" s="936"/>
      <c r="Y13" s="936" t="str">
        <f>Instructions!G11</f>
        <v>Redemption Class A</v>
      </c>
      <c r="Z13" s="936" t="str">
        <f t="shared" si="8"/>
        <v>BNP PARIBAS PARIS BRANCH</v>
      </c>
      <c r="AA13" s="936" t="s">
        <v>1547</v>
      </c>
    </row>
    <row r="14" spans="1:45" x14ac:dyDescent="0.2">
      <c r="A14" s="940" t="s">
        <v>1554</v>
      </c>
      <c r="B14" s="940" t="s">
        <v>687</v>
      </c>
      <c r="C14" s="939">
        <f>Instructions!J12</f>
        <v>45590</v>
      </c>
      <c r="D14" s="941">
        <f>Instructions!E12</f>
        <v>2244560.2929508174</v>
      </c>
      <c r="E14" s="940" t="str">
        <f>Instructions!U12</f>
        <v>BANQUE DE France MILLEIS</v>
      </c>
      <c r="F14" s="940" t="str">
        <f t="shared" si="0"/>
        <v>BANQUE DE France MILLEIS</v>
      </c>
      <c r="G14" s="940" t="str">
        <f>Instructions!V12</f>
        <v>MILLEIS BANQUE</v>
      </c>
      <c r="H14" s="940" t="str">
        <f>_xlfn.XLOOKUP(L14,Instructions!$L$21:$L$25,Instructions!$N$21:$N$25)</f>
        <v>41329000010000479326M</v>
      </c>
      <c r="I14" s="938" t="s">
        <v>1548</v>
      </c>
      <c r="J14" s="940"/>
      <c r="K14" s="938"/>
      <c r="L14" s="940" t="str">
        <f>Instructions!L12</f>
        <v>FCH PRIME CASH 23 INT AC</v>
      </c>
      <c r="M14" s="939">
        <f t="shared" ca="1" si="1"/>
        <v>45590</v>
      </c>
      <c r="N14" s="938" t="s">
        <v>1596</v>
      </c>
      <c r="O14" s="937" t="str">
        <f t="shared" ref="O14:O15" si="9">H14</f>
        <v>41329000010000479326M</v>
      </c>
      <c r="P14" s="936" t="str">
        <f t="shared" ref="P14:P15" si="10">A14</f>
        <v>PARBFR</v>
      </c>
      <c r="Q14" s="936" t="str">
        <f t="shared" ref="Q14:Q15" si="11">AP$5</f>
        <v>92 AVENUE DE WAGRAM</v>
      </c>
      <c r="R14" s="936" t="str">
        <f t="shared" si="5"/>
        <v>75017</v>
      </c>
      <c r="S14" s="936" t="str">
        <f t="shared" si="6"/>
        <v>Paris</v>
      </c>
      <c r="T14" s="936" t="str">
        <f t="shared" si="7"/>
        <v>FRANCE FR</v>
      </c>
      <c r="U14" s="937" t="str">
        <f>Instructions!X12</f>
        <v>RFREURPRIVFRPPXXX</v>
      </c>
      <c r="V14" s="936" t="str">
        <f>Instructions!W12</f>
        <v>PRIVFRPPXXX</v>
      </c>
      <c r="W14" s="936"/>
      <c r="X14" s="936"/>
      <c r="Y14" s="936" t="str">
        <f>Instructions!G12</f>
        <v>Interest to the Residual Unitholders</v>
      </c>
      <c r="Z14" s="936" t="str">
        <f t="shared" ref="Z14:Z15" si="12">E14</f>
        <v>BANQUE DE France MILLEIS</v>
      </c>
      <c r="AA14" s="936" t="s">
        <v>1547</v>
      </c>
    </row>
    <row r="15" spans="1:45" x14ac:dyDescent="0.2">
      <c r="A15" s="940" t="s">
        <v>1554</v>
      </c>
      <c r="B15" s="940" t="s">
        <v>687</v>
      </c>
      <c r="C15" s="939">
        <f>Instructions!J13</f>
        <v>45590</v>
      </c>
      <c r="D15" s="941">
        <f>Instructions!E13</f>
        <v>1861.37</v>
      </c>
      <c r="E15" s="940" t="str">
        <f>Instructions!U13</f>
        <v>BANQUE DE France MILLEIS</v>
      </c>
      <c r="F15" s="940" t="str">
        <f t="shared" si="0"/>
        <v>BANQUE DE France MILLEIS</v>
      </c>
      <c r="G15" s="940" t="str">
        <f>Instructions!V13</f>
        <v>MILLEIS BANQUE</v>
      </c>
      <c r="H15" s="940" t="str">
        <f>_xlfn.XLOOKUP(L15,Instructions!$L$21:$L$25,Instructions!$N$21:$N$25)</f>
        <v>41329000010000479326M</v>
      </c>
      <c r="I15" s="938" t="s">
        <v>1548</v>
      </c>
      <c r="J15" s="940"/>
      <c r="K15" s="938"/>
      <c r="L15" s="940" t="str">
        <f>Instructions!L13</f>
        <v>FCH PRIME CASH 23 INT AC</v>
      </c>
      <c r="M15" s="939">
        <f t="shared" ca="1" si="1"/>
        <v>45590</v>
      </c>
      <c r="N15" s="938" t="s">
        <v>1596</v>
      </c>
      <c r="O15" s="937" t="str">
        <f t="shared" si="9"/>
        <v>41329000010000479326M</v>
      </c>
      <c r="P15" s="936" t="str">
        <f t="shared" si="10"/>
        <v>PARBFR</v>
      </c>
      <c r="Q15" s="936" t="str">
        <f t="shared" si="11"/>
        <v>92 AVENUE DE WAGRAM</v>
      </c>
      <c r="R15" s="936" t="str">
        <f t="shared" si="5"/>
        <v>75017</v>
      </c>
      <c r="S15" s="936" t="str">
        <f t="shared" si="6"/>
        <v>Paris</v>
      </c>
      <c r="T15" s="936" t="str">
        <f t="shared" si="7"/>
        <v>FRANCE FR</v>
      </c>
      <c r="U15" s="937" t="str">
        <f>Instructions!X13</f>
        <v>RFREURPRIVFRPPXXX</v>
      </c>
      <c r="V15" s="936" t="str">
        <f>Instructions!W13</f>
        <v>PRIVFRPPXXX</v>
      </c>
      <c r="W15" s="936"/>
      <c r="X15" s="936"/>
      <c r="Y15" s="936" t="str">
        <f>Instructions!G13</f>
        <v>Fees - Servicer</v>
      </c>
      <c r="Z15" s="936" t="str">
        <f t="shared" si="12"/>
        <v>BANQUE DE France MILLEIS</v>
      </c>
      <c r="AA15" s="936" t="s">
        <v>1547</v>
      </c>
    </row>
    <row r="16" spans="1:45" x14ac:dyDescent="0.2">
      <c r="A16" s="940" t="s">
        <v>1554</v>
      </c>
      <c r="B16" s="940" t="s">
        <v>687</v>
      </c>
      <c r="C16" s="939">
        <f>Instructions!J14</f>
        <v>45590</v>
      </c>
      <c r="D16" s="941">
        <f>Instructions!E14</f>
        <v>9754251.5420999993</v>
      </c>
      <c r="E16" s="940" t="str">
        <f>Instructions!U14</f>
        <v>FCT French prime cash 2023 COMPTE GENERAL</v>
      </c>
      <c r="F16" s="940" t="str">
        <f t="shared" ref="F16:F17" si="13">E16</f>
        <v>FCT French prime cash 2023 COMPTE GENERAL</v>
      </c>
      <c r="G16" s="940" t="str">
        <f>Instructions!V14</f>
        <v>BNP PARIBAS</v>
      </c>
      <c r="H16" s="940" t="str">
        <f>_xlfn.XLOOKUP(L16,Instructions!$L$21:$L$25,Instructions!$N$21:$N$25)</f>
        <v>41329000010000479328U</v>
      </c>
      <c r="I16" s="938" t="s">
        <v>1548</v>
      </c>
      <c r="J16" s="940"/>
      <c r="K16" s="938"/>
      <c r="L16" s="940" t="str">
        <f>Instructions!L14</f>
        <v>FCH PRIME CASH 23 RES AC</v>
      </c>
      <c r="M16" s="939">
        <f t="shared" ca="1" si="1"/>
        <v>45590</v>
      </c>
      <c r="N16" s="938" t="s">
        <v>1596</v>
      </c>
      <c r="O16" s="937" t="str">
        <f t="shared" ref="O16:O17" si="14">H16</f>
        <v>41329000010000479328U</v>
      </c>
      <c r="P16" s="936" t="str">
        <f t="shared" ref="P16:P17" si="15">A16</f>
        <v>PARBFR</v>
      </c>
      <c r="Q16" s="936" t="str">
        <f t="shared" ref="Q16:Q17" si="16">AP$5</f>
        <v>92 AVENUE DE WAGRAM</v>
      </c>
      <c r="R16" s="936" t="str">
        <f t="shared" si="5"/>
        <v>75017</v>
      </c>
      <c r="S16" s="936" t="str">
        <f t="shared" si="6"/>
        <v>Paris</v>
      </c>
      <c r="T16" s="936" t="str">
        <f t="shared" si="7"/>
        <v>FRANCE FR</v>
      </c>
      <c r="U16" s="937" t="str">
        <f>Instructions!X14</f>
        <v>FR04 4132 9000 0100 0047 9325 K50</v>
      </c>
      <c r="V16" s="936" t="str">
        <f>Instructions!W14</f>
        <v>PARBFRPP</v>
      </c>
      <c r="W16" s="936"/>
      <c r="X16" s="936"/>
      <c r="Y16" s="936" t="str">
        <f>Instructions!G14</f>
        <v>Transfert Financial Reserve to General</v>
      </c>
      <c r="Z16" s="936" t="str">
        <f t="shared" ref="Z16" si="17">E16</f>
        <v>FCT French prime cash 2023 COMPTE GENERAL</v>
      </c>
      <c r="AA16" s="936" t="s">
        <v>1547</v>
      </c>
    </row>
    <row r="17" spans="1:27" x14ac:dyDescent="0.2">
      <c r="A17" s="940" t="s">
        <v>1554</v>
      </c>
      <c r="B17" s="940" t="s">
        <v>687</v>
      </c>
      <c r="C17" s="939">
        <f>Instructions!J15</f>
        <v>45590</v>
      </c>
      <c r="D17" s="941">
        <f>Instructions!E15</f>
        <v>9507056.7161999997</v>
      </c>
      <c r="E17" s="940" t="str">
        <f>Instructions!U15</f>
        <v>FCH PRIME CASH 23 RES AC</v>
      </c>
      <c r="F17" s="940" t="str">
        <f t="shared" si="13"/>
        <v>FCH PRIME CASH 23 RES AC</v>
      </c>
      <c r="G17" s="940" t="str">
        <f>Instructions!V15</f>
        <v>BNP PARIBAS</v>
      </c>
      <c r="H17" s="940" t="str">
        <f>_xlfn.XLOOKUP(L17,Instructions!$L$21:$L$25,Instructions!$N$21:$N$25)</f>
        <v>41329000010000479326M</v>
      </c>
      <c r="I17" s="938" t="s">
        <v>1548</v>
      </c>
      <c r="J17" s="940"/>
      <c r="K17" s="938"/>
      <c r="L17" s="940" t="str">
        <f>Instructions!L15</f>
        <v>FCH PRIME CASH 23 INT AC</v>
      </c>
      <c r="M17" s="939">
        <f t="shared" ca="1" si="1"/>
        <v>45590</v>
      </c>
      <c r="N17" s="938" t="s">
        <v>1596</v>
      </c>
      <c r="O17" s="937" t="str">
        <f t="shared" si="14"/>
        <v>41329000010000479326M</v>
      </c>
      <c r="P17" s="936" t="str">
        <f t="shared" si="15"/>
        <v>PARBFR</v>
      </c>
      <c r="Q17" s="936" t="str">
        <f t="shared" si="16"/>
        <v>92 AVENUE DE WAGRAM</v>
      </c>
      <c r="R17" s="936" t="str">
        <f t="shared" si="5"/>
        <v>75017</v>
      </c>
      <c r="S17" s="936" t="str">
        <f t="shared" si="6"/>
        <v>Paris</v>
      </c>
      <c r="T17" s="936" t="str">
        <f t="shared" si="7"/>
        <v>FRANCE FR</v>
      </c>
      <c r="U17" s="937" t="str">
        <f>Instructions!X15</f>
        <v>FR87 4132 9000 0100 0047 9328 U51</v>
      </c>
      <c r="V17" s="936" t="str">
        <f>Instructions!W15</f>
        <v>PARBFRPP</v>
      </c>
      <c r="W17" s="936"/>
      <c r="X17" s="936"/>
      <c r="Y17" s="936" t="str">
        <f>Instructions!G15</f>
        <v>Transfert requiered reserved amount</v>
      </c>
      <c r="Z17" s="936" t="str">
        <f>E17</f>
        <v>FCH PRIME CASH 23 RES AC</v>
      </c>
      <c r="AA17" s="936" t="s">
        <v>1547</v>
      </c>
    </row>
    <row r="24" spans="1:27" x14ac:dyDescent="0.2">
      <c r="E24" s="1000" t="s">
        <v>2535</v>
      </c>
      <c r="F24" s="1001" t="s">
        <v>2536</v>
      </c>
      <c r="G24" s="1001" t="s">
        <v>2533</v>
      </c>
      <c r="H24" s="1001" t="s">
        <v>29</v>
      </c>
      <c r="I24" s="1002" t="s">
        <v>2534</v>
      </c>
    </row>
    <row r="25" spans="1:27" x14ac:dyDescent="0.2">
      <c r="E25" s="1003" t="s">
        <v>1588</v>
      </c>
      <c r="F25" s="1004" t="str" cm="1">
        <f t="array" ref="F25:F28">_xlfn.UNIQUE(L4:L17)</f>
        <v>FCH PRIME CASH 23 RES AC</v>
      </c>
      <c r="G25" s="1005">
        <f>SUMIFS($D$4:$D$17,$L$4:$L$17,F25)</f>
        <v>9823431.8920999989</v>
      </c>
      <c r="H25" s="1005">
        <f>SUMIFS($D$4:$D$17,$Z$4:$Z$17,E25)</f>
        <v>9507056.7161999997</v>
      </c>
      <c r="I25" s="1006">
        <f>IF(H25-G25&lt;0,ABS(H25-G25),0)</f>
        <v>316375.17589999922</v>
      </c>
    </row>
    <row r="26" spans="1:27" x14ac:dyDescent="0.2">
      <c r="E26" s="1007" t="s">
        <v>1519</v>
      </c>
      <c r="F26" s="1008" t="str">
        <v>FCH PRIME CASH 23 GEN AC</v>
      </c>
      <c r="G26" s="1009">
        <f t="shared" ref="G26:G28" si="18">SUMIFS($D$4:$D$17,$L$4:$L$17,F26)</f>
        <v>30794741.452099994</v>
      </c>
      <c r="H26" s="1009">
        <f t="shared" ref="H26:H28" si="19">SUMIFS($D$4:$D$17,$Z$4:$Z$17,E26)</f>
        <v>9823431.8920999989</v>
      </c>
      <c r="I26" s="1010">
        <f t="shared" ref="I26:I28" si="20">IF(H26-G26&lt;0,ABS(H26-G26),0)</f>
        <v>20971309.559999995</v>
      </c>
    </row>
    <row r="27" spans="1:27" x14ac:dyDescent="0.2">
      <c r="E27" s="1003" t="s">
        <v>1527</v>
      </c>
      <c r="F27" s="1004" t="str">
        <v>FCH PRIME CASH 23 INT AC</v>
      </c>
      <c r="G27" s="1005">
        <f t="shared" si="18"/>
        <v>12190015.796199998</v>
      </c>
      <c r="H27" s="1005">
        <f t="shared" si="19"/>
        <v>12440426.0821</v>
      </c>
      <c r="I27" s="1006">
        <f t="shared" si="20"/>
        <v>0</v>
      </c>
    </row>
    <row r="28" spans="1:27" x14ac:dyDescent="0.2">
      <c r="E28" s="1011" t="s">
        <v>1524</v>
      </c>
      <c r="F28" s="1012" t="str">
        <v>FCH PRIME CASH 23 PP ACC</v>
      </c>
      <c r="G28" s="1013">
        <f t="shared" si="18"/>
        <v>18354315.369999994</v>
      </c>
      <c r="H28" s="1013">
        <f t="shared" si="19"/>
        <v>18354315.369999994</v>
      </c>
      <c r="I28" s="1014">
        <f t="shared" si="20"/>
        <v>0</v>
      </c>
    </row>
  </sheetData>
  <mergeCells count="6">
    <mergeCell ref="A1:M1"/>
    <mergeCell ref="AJ4:AK4"/>
    <mergeCell ref="AE5:AH5"/>
    <mergeCell ref="AJ5:AK5"/>
    <mergeCell ref="AE6:AH6"/>
    <mergeCell ref="AJ6:AK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7734-F2AA-4DBD-8E17-ED0F4D73DE5E}">
  <sheetPr>
    <tabColor theme="6" tint="-0.249977111117893"/>
    <pageSetUpPr fitToPage="1"/>
  </sheetPr>
  <dimension ref="A1:AC34"/>
  <sheetViews>
    <sheetView topLeftCell="H1" workbookViewId="0">
      <selection activeCell="E15" sqref="E15"/>
    </sheetView>
  </sheetViews>
  <sheetFormatPr defaultColWidth="11.5703125" defaultRowHeight="12.75" x14ac:dyDescent="0.2"/>
  <cols>
    <col min="1" max="1" width="12.5703125" style="299" bestFit="1" customWidth="1"/>
    <col min="2" max="2" width="25.85546875" style="299" bestFit="1" customWidth="1"/>
    <col min="3" max="3" width="17.42578125" style="299" bestFit="1" customWidth="1"/>
    <col min="4" max="4" width="17.85546875" style="299" bestFit="1" customWidth="1"/>
    <col min="5" max="5" width="16.5703125" style="310" bestFit="1" customWidth="1"/>
    <col min="6" max="6" width="18" style="299" bestFit="1" customWidth="1"/>
    <col min="7" max="7" width="60.42578125" style="299" customWidth="1"/>
    <col min="8" max="8" width="61.5703125" style="299" bestFit="1" customWidth="1"/>
    <col min="9" max="9" width="15.42578125" style="299" bestFit="1" customWidth="1"/>
    <col min="10" max="10" width="11.42578125" style="299" bestFit="1" customWidth="1"/>
    <col min="11" max="11" width="16.5703125" style="299" bestFit="1" customWidth="1"/>
    <col min="12" max="12" width="46.140625" style="299" bestFit="1" customWidth="1"/>
    <col min="13" max="13" width="27.42578125" style="299" bestFit="1" customWidth="1"/>
    <col min="14" max="14" width="27.140625" style="299" bestFit="1" customWidth="1"/>
    <col min="15" max="15" width="34.42578125" style="299" bestFit="1" customWidth="1"/>
    <col min="16" max="16" width="36.5703125" style="299" bestFit="1" customWidth="1"/>
    <col min="17" max="17" width="20.85546875" style="299" bestFit="1" customWidth="1"/>
    <col min="18" max="18" width="30.5703125" style="299" bestFit="1" customWidth="1"/>
    <col min="19" max="20" width="19.5703125" style="299" bestFit="1" customWidth="1"/>
    <col min="21" max="21" width="44" style="299" bestFit="1" customWidth="1"/>
    <col min="22" max="22" width="36.5703125" style="299" bestFit="1" customWidth="1"/>
    <col min="23" max="23" width="28" style="299" bestFit="1" customWidth="1"/>
    <col min="24" max="24" width="38.5703125" style="299" bestFit="1" customWidth="1"/>
    <col min="25" max="25" width="16" style="299" bestFit="1" customWidth="1"/>
    <col min="26" max="26" width="14.5703125" style="299" bestFit="1" customWidth="1"/>
    <col min="27" max="27" width="8" style="299" bestFit="1" customWidth="1"/>
    <col min="28" max="28" width="14.5703125" style="299" bestFit="1" customWidth="1"/>
    <col min="29" max="29" width="46.5703125" style="299" bestFit="1" customWidth="1"/>
    <col min="30" max="31" width="11.5703125" style="299"/>
    <col min="32" max="32" width="24.42578125" style="299" bestFit="1" customWidth="1"/>
    <col min="33" max="33" width="11.5703125" style="299"/>
    <col min="34" max="34" width="22.85546875" style="299" bestFit="1" customWidth="1"/>
    <col min="35" max="257" width="11.5703125" style="299"/>
    <col min="258" max="258" width="18.42578125" style="299" customWidth="1"/>
    <col min="259" max="259" width="47.42578125" style="299" customWidth="1"/>
    <col min="260" max="260" width="15.5703125" style="299" customWidth="1"/>
    <col min="261" max="261" width="17" style="299" customWidth="1"/>
    <col min="262" max="262" width="22.42578125" style="299" customWidth="1"/>
    <col min="263" max="264" width="15.5703125" style="299" customWidth="1"/>
    <col min="265" max="265" width="25.5703125" style="299" customWidth="1"/>
    <col min="266" max="513" width="11.5703125" style="299"/>
    <col min="514" max="514" width="18.42578125" style="299" customWidth="1"/>
    <col min="515" max="515" width="47.42578125" style="299" customWidth="1"/>
    <col min="516" max="516" width="15.5703125" style="299" customWidth="1"/>
    <col min="517" max="517" width="17" style="299" customWidth="1"/>
    <col min="518" max="518" width="22.42578125" style="299" customWidth="1"/>
    <col min="519" max="520" width="15.5703125" style="299" customWidth="1"/>
    <col min="521" max="521" width="25.5703125" style="299" customWidth="1"/>
    <col min="522" max="769" width="11.5703125" style="299"/>
    <col min="770" max="770" width="18.42578125" style="299" customWidth="1"/>
    <col min="771" max="771" width="47.42578125" style="299" customWidth="1"/>
    <col min="772" max="772" width="15.5703125" style="299" customWidth="1"/>
    <col min="773" max="773" width="17" style="299" customWidth="1"/>
    <col min="774" max="774" width="22.42578125" style="299" customWidth="1"/>
    <col min="775" max="776" width="15.5703125" style="299" customWidth="1"/>
    <col min="777" max="777" width="25.5703125" style="299" customWidth="1"/>
    <col min="778" max="1025" width="11.5703125" style="299"/>
    <col min="1026" max="1026" width="18.42578125" style="299" customWidth="1"/>
    <col min="1027" max="1027" width="47.42578125" style="299" customWidth="1"/>
    <col min="1028" max="1028" width="15.5703125" style="299" customWidth="1"/>
    <col min="1029" max="1029" width="17" style="299" customWidth="1"/>
    <col min="1030" max="1030" width="22.42578125" style="299" customWidth="1"/>
    <col min="1031" max="1032" width="15.5703125" style="299" customWidth="1"/>
    <col min="1033" max="1033" width="25.5703125" style="299" customWidth="1"/>
    <col min="1034" max="1281" width="11.5703125" style="299"/>
    <col min="1282" max="1282" width="18.42578125" style="299" customWidth="1"/>
    <col min="1283" max="1283" width="47.42578125" style="299" customWidth="1"/>
    <col min="1284" max="1284" width="15.5703125" style="299" customWidth="1"/>
    <col min="1285" max="1285" width="17" style="299" customWidth="1"/>
    <col min="1286" max="1286" width="22.42578125" style="299" customWidth="1"/>
    <col min="1287" max="1288" width="15.5703125" style="299" customWidth="1"/>
    <col min="1289" max="1289" width="25.5703125" style="299" customWidth="1"/>
    <col min="1290" max="1537" width="11.5703125" style="299"/>
    <col min="1538" max="1538" width="18.42578125" style="299" customWidth="1"/>
    <col min="1539" max="1539" width="47.42578125" style="299" customWidth="1"/>
    <col min="1540" max="1540" width="15.5703125" style="299" customWidth="1"/>
    <col min="1541" max="1541" width="17" style="299" customWidth="1"/>
    <col min="1542" max="1542" width="22.42578125" style="299" customWidth="1"/>
    <col min="1543" max="1544" width="15.5703125" style="299" customWidth="1"/>
    <col min="1545" max="1545" width="25.5703125" style="299" customWidth="1"/>
    <col min="1546" max="1793" width="11.5703125" style="299"/>
    <col min="1794" max="1794" width="18.42578125" style="299" customWidth="1"/>
    <col min="1795" max="1795" width="47.42578125" style="299" customWidth="1"/>
    <col min="1796" max="1796" width="15.5703125" style="299" customWidth="1"/>
    <col min="1797" max="1797" width="17" style="299" customWidth="1"/>
    <col min="1798" max="1798" width="22.42578125" style="299" customWidth="1"/>
    <col min="1799" max="1800" width="15.5703125" style="299" customWidth="1"/>
    <col min="1801" max="1801" width="25.5703125" style="299" customWidth="1"/>
    <col min="1802" max="2049" width="11.5703125" style="299"/>
    <col min="2050" max="2050" width="18.42578125" style="299" customWidth="1"/>
    <col min="2051" max="2051" width="47.42578125" style="299" customWidth="1"/>
    <col min="2052" max="2052" width="15.5703125" style="299" customWidth="1"/>
    <col min="2053" max="2053" width="17" style="299" customWidth="1"/>
    <col min="2054" max="2054" width="22.42578125" style="299" customWidth="1"/>
    <col min="2055" max="2056" width="15.5703125" style="299" customWidth="1"/>
    <col min="2057" max="2057" width="25.5703125" style="299" customWidth="1"/>
    <col min="2058" max="2305" width="11.5703125" style="299"/>
    <col min="2306" max="2306" width="18.42578125" style="299" customWidth="1"/>
    <col min="2307" max="2307" width="47.42578125" style="299" customWidth="1"/>
    <col min="2308" max="2308" width="15.5703125" style="299" customWidth="1"/>
    <col min="2309" max="2309" width="17" style="299" customWidth="1"/>
    <col min="2310" max="2310" width="22.42578125" style="299" customWidth="1"/>
    <col min="2311" max="2312" width="15.5703125" style="299" customWidth="1"/>
    <col min="2313" max="2313" width="25.5703125" style="299" customWidth="1"/>
    <col min="2314" max="2561" width="11.5703125" style="299"/>
    <col min="2562" max="2562" width="18.42578125" style="299" customWidth="1"/>
    <col min="2563" max="2563" width="47.42578125" style="299" customWidth="1"/>
    <col min="2564" max="2564" width="15.5703125" style="299" customWidth="1"/>
    <col min="2565" max="2565" width="17" style="299" customWidth="1"/>
    <col min="2566" max="2566" width="22.42578125" style="299" customWidth="1"/>
    <col min="2567" max="2568" width="15.5703125" style="299" customWidth="1"/>
    <col min="2569" max="2569" width="25.5703125" style="299" customWidth="1"/>
    <col min="2570" max="2817" width="11.5703125" style="299"/>
    <col min="2818" max="2818" width="18.42578125" style="299" customWidth="1"/>
    <col min="2819" max="2819" width="47.42578125" style="299" customWidth="1"/>
    <col min="2820" max="2820" width="15.5703125" style="299" customWidth="1"/>
    <col min="2821" max="2821" width="17" style="299" customWidth="1"/>
    <col min="2822" max="2822" width="22.42578125" style="299" customWidth="1"/>
    <col min="2823" max="2824" width="15.5703125" style="299" customWidth="1"/>
    <col min="2825" max="2825" width="25.5703125" style="299" customWidth="1"/>
    <col min="2826" max="3073" width="11.5703125" style="299"/>
    <col min="3074" max="3074" width="18.42578125" style="299" customWidth="1"/>
    <col min="3075" max="3075" width="47.42578125" style="299" customWidth="1"/>
    <col min="3076" max="3076" width="15.5703125" style="299" customWidth="1"/>
    <col min="3077" max="3077" width="17" style="299" customWidth="1"/>
    <col min="3078" max="3078" width="22.42578125" style="299" customWidth="1"/>
    <col min="3079" max="3080" width="15.5703125" style="299" customWidth="1"/>
    <col min="3081" max="3081" width="25.5703125" style="299" customWidth="1"/>
    <col min="3082" max="3329" width="11.5703125" style="299"/>
    <col min="3330" max="3330" width="18.42578125" style="299" customWidth="1"/>
    <col min="3331" max="3331" width="47.42578125" style="299" customWidth="1"/>
    <col min="3332" max="3332" width="15.5703125" style="299" customWidth="1"/>
    <col min="3333" max="3333" width="17" style="299" customWidth="1"/>
    <col min="3334" max="3334" width="22.42578125" style="299" customWidth="1"/>
    <col min="3335" max="3336" width="15.5703125" style="299" customWidth="1"/>
    <col min="3337" max="3337" width="25.5703125" style="299" customWidth="1"/>
    <col min="3338" max="3585" width="11.5703125" style="299"/>
    <col min="3586" max="3586" width="18.42578125" style="299" customWidth="1"/>
    <col min="3587" max="3587" width="47.42578125" style="299" customWidth="1"/>
    <col min="3588" max="3588" width="15.5703125" style="299" customWidth="1"/>
    <col min="3589" max="3589" width="17" style="299" customWidth="1"/>
    <col min="3590" max="3590" width="22.42578125" style="299" customWidth="1"/>
    <col min="3591" max="3592" width="15.5703125" style="299" customWidth="1"/>
    <col min="3593" max="3593" width="25.5703125" style="299" customWidth="1"/>
    <col min="3594" max="3841" width="11.5703125" style="299"/>
    <col min="3842" max="3842" width="18.42578125" style="299" customWidth="1"/>
    <col min="3843" max="3843" width="47.42578125" style="299" customWidth="1"/>
    <col min="3844" max="3844" width="15.5703125" style="299" customWidth="1"/>
    <col min="3845" max="3845" width="17" style="299" customWidth="1"/>
    <col min="3846" max="3846" width="22.42578125" style="299" customWidth="1"/>
    <col min="3847" max="3848" width="15.5703125" style="299" customWidth="1"/>
    <col min="3849" max="3849" width="25.5703125" style="299" customWidth="1"/>
    <col min="3850" max="4097" width="11.5703125" style="299"/>
    <col min="4098" max="4098" width="18.42578125" style="299" customWidth="1"/>
    <col min="4099" max="4099" width="47.42578125" style="299" customWidth="1"/>
    <col min="4100" max="4100" width="15.5703125" style="299" customWidth="1"/>
    <col min="4101" max="4101" width="17" style="299" customWidth="1"/>
    <col min="4102" max="4102" width="22.42578125" style="299" customWidth="1"/>
    <col min="4103" max="4104" width="15.5703125" style="299" customWidth="1"/>
    <col min="4105" max="4105" width="25.5703125" style="299" customWidth="1"/>
    <col min="4106" max="4353" width="11.5703125" style="299"/>
    <col min="4354" max="4354" width="18.42578125" style="299" customWidth="1"/>
    <col min="4355" max="4355" width="47.42578125" style="299" customWidth="1"/>
    <col min="4356" max="4356" width="15.5703125" style="299" customWidth="1"/>
    <col min="4357" max="4357" width="17" style="299" customWidth="1"/>
    <col min="4358" max="4358" width="22.42578125" style="299" customWidth="1"/>
    <col min="4359" max="4360" width="15.5703125" style="299" customWidth="1"/>
    <col min="4361" max="4361" width="25.5703125" style="299" customWidth="1"/>
    <col min="4362" max="4609" width="11.5703125" style="299"/>
    <col min="4610" max="4610" width="18.42578125" style="299" customWidth="1"/>
    <col min="4611" max="4611" width="47.42578125" style="299" customWidth="1"/>
    <col min="4612" max="4612" width="15.5703125" style="299" customWidth="1"/>
    <col min="4613" max="4613" width="17" style="299" customWidth="1"/>
    <col min="4614" max="4614" width="22.42578125" style="299" customWidth="1"/>
    <col min="4615" max="4616" width="15.5703125" style="299" customWidth="1"/>
    <col min="4617" max="4617" width="25.5703125" style="299" customWidth="1"/>
    <col min="4618" max="4865" width="11.5703125" style="299"/>
    <col min="4866" max="4866" width="18.42578125" style="299" customWidth="1"/>
    <col min="4867" max="4867" width="47.42578125" style="299" customWidth="1"/>
    <col min="4868" max="4868" width="15.5703125" style="299" customWidth="1"/>
    <col min="4869" max="4869" width="17" style="299" customWidth="1"/>
    <col min="4870" max="4870" width="22.42578125" style="299" customWidth="1"/>
    <col min="4871" max="4872" width="15.5703125" style="299" customWidth="1"/>
    <col min="4873" max="4873" width="25.5703125" style="299" customWidth="1"/>
    <col min="4874" max="5121" width="11.5703125" style="299"/>
    <col min="5122" max="5122" width="18.42578125" style="299" customWidth="1"/>
    <col min="5123" max="5123" width="47.42578125" style="299" customWidth="1"/>
    <col min="5124" max="5124" width="15.5703125" style="299" customWidth="1"/>
    <col min="5125" max="5125" width="17" style="299" customWidth="1"/>
    <col min="5126" max="5126" width="22.42578125" style="299" customWidth="1"/>
    <col min="5127" max="5128" width="15.5703125" style="299" customWidth="1"/>
    <col min="5129" max="5129" width="25.5703125" style="299" customWidth="1"/>
    <col min="5130" max="5377" width="11.5703125" style="299"/>
    <col min="5378" max="5378" width="18.42578125" style="299" customWidth="1"/>
    <col min="5379" max="5379" width="47.42578125" style="299" customWidth="1"/>
    <col min="5380" max="5380" width="15.5703125" style="299" customWidth="1"/>
    <col min="5381" max="5381" width="17" style="299" customWidth="1"/>
    <col min="5382" max="5382" width="22.42578125" style="299" customWidth="1"/>
    <col min="5383" max="5384" width="15.5703125" style="299" customWidth="1"/>
    <col min="5385" max="5385" width="25.5703125" style="299" customWidth="1"/>
    <col min="5386" max="5633" width="11.5703125" style="299"/>
    <col min="5634" max="5634" width="18.42578125" style="299" customWidth="1"/>
    <col min="5635" max="5635" width="47.42578125" style="299" customWidth="1"/>
    <col min="5636" max="5636" width="15.5703125" style="299" customWidth="1"/>
    <col min="5637" max="5637" width="17" style="299" customWidth="1"/>
    <col min="5638" max="5638" width="22.42578125" style="299" customWidth="1"/>
    <col min="5639" max="5640" width="15.5703125" style="299" customWidth="1"/>
    <col min="5641" max="5641" width="25.5703125" style="299" customWidth="1"/>
    <col min="5642" max="5889" width="11.5703125" style="299"/>
    <col min="5890" max="5890" width="18.42578125" style="299" customWidth="1"/>
    <col min="5891" max="5891" width="47.42578125" style="299" customWidth="1"/>
    <col min="5892" max="5892" width="15.5703125" style="299" customWidth="1"/>
    <col min="5893" max="5893" width="17" style="299" customWidth="1"/>
    <col min="5894" max="5894" width="22.42578125" style="299" customWidth="1"/>
    <col min="5895" max="5896" width="15.5703125" style="299" customWidth="1"/>
    <col min="5897" max="5897" width="25.5703125" style="299" customWidth="1"/>
    <col min="5898" max="6145" width="11.5703125" style="299"/>
    <col min="6146" max="6146" width="18.42578125" style="299" customWidth="1"/>
    <col min="6147" max="6147" width="47.42578125" style="299" customWidth="1"/>
    <col min="6148" max="6148" width="15.5703125" style="299" customWidth="1"/>
    <col min="6149" max="6149" width="17" style="299" customWidth="1"/>
    <col min="6150" max="6150" width="22.42578125" style="299" customWidth="1"/>
    <col min="6151" max="6152" width="15.5703125" style="299" customWidth="1"/>
    <col min="6153" max="6153" width="25.5703125" style="299" customWidth="1"/>
    <col min="6154" max="6401" width="11.5703125" style="299"/>
    <col min="6402" max="6402" width="18.42578125" style="299" customWidth="1"/>
    <col min="6403" max="6403" width="47.42578125" style="299" customWidth="1"/>
    <col min="6404" max="6404" width="15.5703125" style="299" customWidth="1"/>
    <col min="6405" max="6405" width="17" style="299" customWidth="1"/>
    <col min="6406" max="6406" width="22.42578125" style="299" customWidth="1"/>
    <col min="6407" max="6408" width="15.5703125" style="299" customWidth="1"/>
    <col min="6409" max="6409" width="25.5703125" style="299" customWidth="1"/>
    <col min="6410" max="6657" width="11.5703125" style="299"/>
    <col min="6658" max="6658" width="18.42578125" style="299" customWidth="1"/>
    <col min="6659" max="6659" width="47.42578125" style="299" customWidth="1"/>
    <col min="6660" max="6660" width="15.5703125" style="299" customWidth="1"/>
    <col min="6661" max="6661" width="17" style="299" customWidth="1"/>
    <col min="6662" max="6662" width="22.42578125" style="299" customWidth="1"/>
    <col min="6663" max="6664" width="15.5703125" style="299" customWidth="1"/>
    <col min="6665" max="6665" width="25.5703125" style="299" customWidth="1"/>
    <col min="6666" max="6913" width="11.5703125" style="299"/>
    <col min="6914" max="6914" width="18.42578125" style="299" customWidth="1"/>
    <col min="6915" max="6915" width="47.42578125" style="299" customWidth="1"/>
    <col min="6916" max="6916" width="15.5703125" style="299" customWidth="1"/>
    <col min="6917" max="6917" width="17" style="299" customWidth="1"/>
    <col min="6918" max="6918" width="22.42578125" style="299" customWidth="1"/>
    <col min="6919" max="6920" width="15.5703125" style="299" customWidth="1"/>
    <col min="6921" max="6921" width="25.5703125" style="299" customWidth="1"/>
    <col min="6922" max="7169" width="11.5703125" style="299"/>
    <col min="7170" max="7170" width="18.42578125" style="299" customWidth="1"/>
    <col min="7171" max="7171" width="47.42578125" style="299" customWidth="1"/>
    <col min="7172" max="7172" width="15.5703125" style="299" customWidth="1"/>
    <col min="7173" max="7173" width="17" style="299" customWidth="1"/>
    <col min="7174" max="7174" width="22.42578125" style="299" customWidth="1"/>
    <col min="7175" max="7176" width="15.5703125" style="299" customWidth="1"/>
    <col min="7177" max="7177" width="25.5703125" style="299" customWidth="1"/>
    <col min="7178" max="7425" width="11.5703125" style="299"/>
    <col min="7426" max="7426" width="18.42578125" style="299" customWidth="1"/>
    <col min="7427" max="7427" width="47.42578125" style="299" customWidth="1"/>
    <col min="7428" max="7428" width="15.5703125" style="299" customWidth="1"/>
    <col min="7429" max="7429" width="17" style="299" customWidth="1"/>
    <col min="7430" max="7430" width="22.42578125" style="299" customWidth="1"/>
    <col min="7431" max="7432" width="15.5703125" style="299" customWidth="1"/>
    <col min="7433" max="7433" width="25.5703125" style="299" customWidth="1"/>
    <col min="7434" max="7681" width="11.5703125" style="299"/>
    <col min="7682" max="7682" width="18.42578125" style="299" customWidth="1"/>
    <col min="7683" max="7683" width="47.42578125" style="299" customWidth="1"/>
    <col min="7684" max="7684" width="15.5703125" style="299" customWidth="1"/>
    <col min="7685" max="7685" width="17" style="299" customWidth="1"/>
    <col min="7686" max="7686" width="22.42578125" style="299" customWidth="1"/>
    <col min="7687" max="7688" width="15.5703125" style="299" customWidth="1"/>
    <col min="7689" max="7689" width="25.5703125" style="299" customWidth="1"/>
    <col min="7690" max="7937" width="11.5703125" style="299"/>
    <col min="7938" max="7938" width="18.42578125" style="299" customWidth="1"/>
    <col min="7939" max="7939" width="47.42578125" style="299" customWidth="1"/>
    <col min="7940" max="7940" width="15.5703125" style="299" customWidth="1"/>
    <col min="7941" max="7941" width="17" style="299" customWidth="1"/>
    <col min="7942" max="7942" width="22.42578125" style="299" customWidth="1"/>
    <col min="7943" max="7944" width="15.5703125" style="299" customWidth="1"/>
    <col min="7945" max="7945" width="25.5703125" style="299" customWidth="1"/>
    <col min="7946" max="8193" width="11.5703125" style="299"/>
    <col min="8194" max="8194" width="18.42578125" style="299" customWidth="1"/>
    <col min="8195" max="8195" width="47.42578125" style="299" customWidth="1"/>
    <col min="8196" max="8196" width="15.5703125" style="299" customWidth="1"/>
    <col min="8197" max="8197" width="17" style="299" customWidth="1"/>
    <col min="8198" max="8198" width="22.42578125" style="299" customWidth="1"/>
    <col min="8199" max="8200" width="15.5703125" style="299" customWidth="1"/>
    <col min="8201" max="8201" width="25.5703125" style="299" customWidth="1"/>
    <col min="8202" max="8449" width="11.5703125" style="299"/>
    <col min="8450" max="8450" width="18.42578125" style="299" customWidth="1"/>
    <col min="8451" max="8451" width="47.42578125" style="299" customWidth="1"/>
    <col min="8452" max="8452" width="15.5703125" style="299" customWidth="1"/>
    <col min="8453" max="8453" width="17" style="299" customWidth="1"/>
    <col min="8454" max="8454" width="22.42578125" style="299" customWidth="1"/>
    <col min="8455" max="8456" width="15.5703125" style="299" customWidth="1"/>
    <col min="8457" max="8457" width="25.5703125" style="299" customWidth="1"/>
    <col min="8458" max="8705" width="11.5703125" style="299"/>
    <col min="8706" max="8706" width="18.42578125" style="299" customWidth="1"/>
    <col min="8707" max="8707" width="47.42578125" style="299" customWidth="1"/>
    <col min="8708" max="8708" width="15.5703125" style="299" customWidth="1"/>
    <col min="8709" max="8709" width="17" style="299" customWidth="1"/>
    <col min="8710" max="8710" width="22.42578125" style="299" customWidth="1"/>
    <col min="8711" max="8712" width="15.5703125" style="299" customWidth="1"/>
    <col min="8713" max="8713" width="25.5703125" style="299" customWidth="1"/>
    <col min="8714" max="8961" width="11.5703125" style="299"/>
    <col min="8962" max="8962" width="18.42578125" style="299" customWidth="1"/>
    <col min="8963" max="8963" width="47.42578125" style="299" customWidth="1"/>
    <col min="8964" max="8964" width="15.5703125" style="299" customWidth="1"/>
    <col min="8965" max="8965" width="17" style="299" customWidth="1"/>
    <col min="8966" max="8966" width="22.42578125" style="299" customWidth="1"/>
    <col min="8967" max="8968" width="15.5703125" style="299" customWidth="1"/>
    <col min="8969" max="8969" width="25.5703125" style="299" customWidth="1"/>
    <col min="8970" max="9217" width="11.5703125" style="299"/>
    <col min="9218" max="9218" width="18.42578125" style="299" customWidth="1"/>
    <col min="9219" max="9219" width="47.42578125" style="299" customWidth="1"/>
    <col min="9220" max="9220" width="15.5703125" style="299" customWidth="1"/>
    <col min="9221" max="9221" width="17" style="299" customWidth="1"/>
    <col min="9222" max="9222" width="22.42578125" style="299" customWidth="1"/>
    <col min="9223" max="9224" width="15.5703125" style="299" customWidth="1"/>
    <col min="9225" max="9225" width="25.5703125" style="299" customWidth="1"/>
    <col min="9226" max="9473" width="11.5703125" style="299"/>
    <col min="9474" max="9474" width="18.42578125" style="299" customWidth="1"/>
    <col min="9475" max="9475" width="47.42578125" style="299" customWidth="1"/>
    <col min="9476" max="9476" width="15.5703125" style="299" customWidth="1"/>
    <col min="9477" max="9477" width="17" style="299" customWidth="1"/>
    <col min="9478" max="9478" width="22.42578125" style="299" customWidth="1"/>
    <col min="9479" max="9480" width="15.5703125" style="299" customWidth="1"/>
    <col min="9481" max="9481" width="25.5703125" style="299" customWidth="1"/>
    <col min="9482" max="9729" width="11.5703125" style="299"/>
    <col min="9730" max="9730" width="18.42578125" style="299" customWidth="1"/>
    <col min="9731" max="9731" width="47.42578125" style="299" customWidth="1"/>
    <col min="9732" max="9732" width="15.5703125" style="299" customWidth="1"/>
    <col min="9733" max="9733" width="17" style="299" customWidth="1"/>
    <col min="9734" max="9734" width="22.42578125" style="299" customWidth="1"/>
    <col min="9735" max="9736" width="15.5703125" style="299" customWidth="1"/>
    <col min="9737" max="9737" width="25.5703125" style="299" customWidth="1"/>
    <col min="9738" max="9985" width="11.5703125" style="299"/>
    <col min="9986" max="9986" width="18.42578125" style="299" customWidth="1"/>
    <col min="9987" max="9987" width="47.42578125" style="299" customWidth="1"/>
    <col min="9988" max="9988" width="15.5703125" style="299" customWidth="1"/>
    <col min="9989" max="9989" width="17" style="299" customWidth="1"/>
    <col min="9990" max="9990" width="22.42578125" style="299" customWidth="1"/>
    <col min="9991" max="9992" width="15.5703125" style="299" customWidth="1"/>
    <col min="9993" max="9993" width="25.5703125" style="299" customWidth="1"/>
    <col min="9994" max="10241" width="11.5703125" style="299"/>
    <col min="10242" max="10242" width="18.42578125" style="299" customWidth="1"/>
    <col min="10243" max="10243" width="47.42578125" style="299" customWidth="1"/>
    <col min="10244" max="10244" width="15.5703125" style="299" customWidth="1"/>
    <col min="10245" max="10245" width="17" style="299" customWidth="1"/>
    <col min="10246" max="10246" width="22.42578125" style="299" customWidth="1"/>
    <col min="10247" max="10248" width="15.5703125" style="299" customWidth="1"/>
    <col min="10249" max="10249" width="25.5703125" style="299" customWidth="1"/>
    <col min="10250" max="10497" width="11.5703125" style="299"/>
    <col min="10498" max="10498" width="18.42578125" style="299" customWidth="1"/>
    <col min="10499" max="10499" width="47.42578125" style="299" customWidth="1"/>
    <col min="10500" max="10500" width="15.5703125" style="299" customWidth="1"/>
    <col min="10501" max="10501" width="17" style="299" customWidth="1"/>
    <col min="10502" max="10502" width="22.42578125" style="299" customWidth="1"/>
    <col min="10503" max="10504" width="15.5703125" style="299" customWidth="1"/>
    <col min="10505" max="10505" width="25.5703125" style="299" customWidth="1"/>
    <col min="10506" max="10753" width="11.5703125" style="299"/>
    <col min="10754" max="10754" width="18.42578125" style="299" customWidth="1"/>
    <col min="10755" max="10755" width="47.42578125" style="299" customWidth="1"/>
    <col min="10756" max="10756" width="15.5703125" style="299" customWidth="1"/>
    <col min="10757" max="10757" width="17" style="299" customWidth="1"/>
    <col min="10758" max="10758" width="22.42578125" style="299" customWidth="1"/>
    <col min="10759" max="10760" width="15.5703125" style="299" customWidth="1"/>
    <col min="10761" max="10761" width="25.5703125" style="299" customWidth="1"/>
    <col min="10762" max="11009" width="11.5703125" style="299"/>
    <col min="11010" max="11010" width="18.42578125" style="299" customWidth="1"/>
    <col min="11011" max="11011" width="47.42578125" style="299" customWidth="1"/>
    <col min="11012" max="11012" width="15.5703125" style="299" customWidth="1"/>
    <col min="11013" max="11013" width="17" style="299" customWidth="1"/>
    <col min="11014" max="11014" width="22.42578125" style="299" customWidth="1"/>
    <col min="11015" max="11016" width="15.5703125" style="299" customWidth="1"/>
    <col min="11017" max="11017" width="25.5703125" style="299" customWidth="1"/>
    <col min="11018" max="11265" width="11.5703125" style="299"/>
    <col min="11266" max="11266" width="18.42578125" style="299" customWidth="1"/>
    <col min="11267" max="11267" width="47.42578125" style="299" customWidth="1"/>
    <col min="11268" max="11268" width="15.5703125" style="299" customWidth="1"/>
    <col min="11269" max="11269" width="17" style="299" customWidth="1"/>
    <col min="11270" max="11270" width="22.42578125" style="299" customWidth="1"/>
    <col min="11271" max="11272" width="15.5703125" style="299" customWidth="1"/>
    <col min="11273" max="11273" width="25.5703125" style="299" customWidth="1"/>
    <col min="11274" max="11521" width="11.5703125" style="299"/>
    <col min="11522" max="11522" width="18.42578125" style="299" customWidth="1"/>
    <col min="11523" max="11523" width="47.42578125" style="299" customWidth="1"/>
    <col min="11524" max="11524" width="15.5703125" style="299" customWidth="1"/>
    <col min="11525" max="11525" width="17" style="299" customWidth="1"/>
    <col min="11526" max="11526" width="22.42578125" style="299" customWidth="1"/>
    <col min="11527" max="11528" width="15.5703125" style="299" customWidth="1"/>
    <col min="11529" max="11529" width="25.5703125" style="299" customWidth="1"/>
    <col min="11530" max="11777" width="11.5703125" style="299"/>
    <col min="11778" max="11778" width="18.42578125" style="299" customWidth="1"/>
    <col min="11779" max="11779" width="47.42578125" style="299" customWidth="1"/>
    <col min="11780" max="11780" width="15.5703125" style="299" customWidth="1"/>
    <col min="11781" max="11781" width="17" style="299" customWidth="1"/>
    <col min="11782" max="11782" width="22.42578125" style="299" customWidth="1"/>
    <col min="11783" max="11784" width="15.5703125" style="299" customWidth="1"/>
    <col min="11785" max="11785" width="25.5703125" style="299" customWidth="1"/>
    <col min="11786" max="12033" width="11.5703125" style="299"/>
    <col min="12034" max="12034" width="18.42578125" style="299" customWidth="1"/>
    <col min="12035" max="12035" width="47.42578125" style="299" customWidth="1"/>
    <col min="12036" max="12036" width="15.5703125" style="299" customWidth="1"/>
    <col min="12037" max="12037" width="17" style="299" customWidth="1"/>
    <col min="12038" max="12038" width="22.42578125" style="299" customWidth="1"/>
    <col min="12039" max="12040" width="15.5703125" style="299" customWidth="1"/>
    <col min="12041" max="12041" width="25.5703125" style="299" customWidth="1"/>
    <col min="12042" max="12289" width="11.5703125" style="299"/>
    <col min="12290" max="12290" width="18.42578125" style="299" customWidth="1"/>
    <col min="12291" max="12291" width="47.42578125" style="299" customWidth="1"/>
    <col min="12292" max="12292" width="15.5703125" style="299" customWidth="1"/>
    <col min="12293" max="12293" width="17" style="299" customWidth="1"/>
    <col min="12294" max="12294" width="22.42578125" style="299" customWidth="1"/>
    <col min="12295" max="12296" width="15.5703125" style="299" customWidth="1"/>
    <col min="12297" max="12297" width="25.5703125" style="299" customWidth="1"/>
    <col min="12298" max="12545" width="11.5703125" style="299"/>
    <col min="12546" max="12546" width="18.42578125" style="299" customWidth="1"/>
    <col min="12547" max="12547" width="47.42578125" style="299" customWidth="1"/>
    <col min="12548" max="12548" width="15.5703125" style="299" customWidth="1"/>
    <col min="12549" max="12549" width="17" style="299" customWidth="1"/>
    <col min="12550" max="12550" width="22.42578125" style="299" customWidth="1"/>
    <col min="12551" max="12552" width="15.5703125" style="299" customWidth="1"/>
    <col min="12553" max="12553" width="25.5703125" style="299" customWidth="1"/>
    <col min="12554" max="12801" width="11.5703125" style="299"/>
    <col min="12802" max="12802" width="18.42578125" style="299" customWidth="1"/>
    <col min="12803" max="12803" width="47.42578125" style="299" customWidth="1"/>
    <col min="12804" max="12804" width="15.5703125" style="299" customWidth="1"/>
    <col min="12805" max="12805" width="17" style="299" customWidth="1"/>
    <col min="12806" max="12806" width="22.42578125" style="299" customWidth="1"/>
    <col min="12807" max="12808" width="15.5703125" style="299" customWidth="1"/>
    <col min="12809" max="12809" width="25.5703125" style="299" customWidth="1"/>
    <col min="12810" max="13057" width="11.5703125" style="299"/>
    <col min="13058" max="13058" width="18.42578125" style="299" customWidth="1"/>
    <col min="13059" max="13059" width="47.42578125" style="299" customWidth="1"/>
    <col min="13060" max="13060" width="15.5703125" style="299" customWidth="1"/>
    <col min="13061" max="13061" width="17" style="299" customWidth="1"/>
    <col min="13062" max="13062" width="22.42578125" style="299" customWidth="1"/>
    <col min="13063" max="13064" width="15.5703125" style="299" customWidth="1"/>
    <col min="13065" max="13065" width="25.5703125" style="299" customWidth="1"/>
    <col min="13066" max="13313" width="11.5703125" style="299"/>
    <col min="13314" max="13314" width="18.42578125" style="299" customWidth="1"/>
    <col min="13315" max="13315" width="47.42578125" style="299" customWidth="1"/>
    <col min="13316" max="13316" width="15.5703125" style="299" customWidth="1"/>
    <col min="13317" max="13317" width="17" style="299" customWidth="1"/>
    <col min="13318" max="13318" width="22.42578125" style="299" customWidth="1"/>
    <col min="13319" max="13320" width="15.5703125" style="299" customWidth="1"/>
    <col min="13321" max="13321" width="25.5703125" style="299" customWidth="1"/>
    <col min="13322" max="13569" width="11.5703125" style="299"/>
    <col min="13570" max="13570" width="18.42578125" style="299" customWidth="1"/>
    <col min="13571" max="13571" width="47.42578125" style="299" customWidth="1"/>
    <col min="13572" max="13572" width="15.5703125" style="299" customWidth="1"/>
    <col min="13573" max="13573" width="17" style="299" customWidth="1"/>
    <col min="13574" max="13574" width="22.42578125" style="299" customWidth="1"/>
    <col min="13575" max="13576" width="15.5703125" style="299" customWidth="1"/>
    <col min="13577" max="13577" width="25.5703125" style="299" customWidth="1"/>
    <col min="13578" max="13825" width="11.5703125" style="299"/>
    <col min="13826" max="13826" width="18.42578125" style="299" customWidth="1"/>
    <col min="13827" max="13827" width="47.42578125" style="299" customWidth="1"/>
    <col min="13828" max="13828" width="15.5703125" style="299" customWidth="1"/>
    <col min="13829" max="13829" width="17" style="299" customWidth="1"/>
    <col min="13830" max="13830" width="22.42578125" style="299" customWidth="1"/>
    <col min="13831" max="13832" width="15.5703125" style="299" customWidth="1"/>
    <col min="13833" max="13833" width="25.5703125" style="299" customWidth="1"/>
    <col min="13834" max="14081" width="11.5703125" style="299"/>
    <col min="14082" max="14082" width="18.42578125" style="299" customWidth="1"/>
    <col min="14083" max="14083" width="47.42578125" style="299" customWidth="1"/>
    <col min="14084" max="14084" width="15.5703125" style="299" customWidth="1"/>
    <col min="14085" max="14085" width="17" style="299" customWidth="1"/>
    <col min="14086" max="14086" width="22.42578125" style="299" customWidth="1"/>
    <col min="14087" max="14088" width="15.5703125" style="299" customWidth="1"/>
    <col min="14089" max="14089" width="25.5703125" style="299" customWidth="1"/>
    <col min="14090" max="14337" width="11.5703125" style="299"/>
    <col min="14338" max="14338" width="18.42578125" style="299" customWidth="1"/>
    <col min="14339" max="14339" width="47.42578125" style="299" customWidth="1"/>
    <col min="14340" max="14340" width="15.5703125" style="299" customWidth="1"/>
    <col min="14341" max="14341" width="17" style="299" customWidth="1"/>
    <col min="14342" max="14342" width="22.42578125" style="299" customWidth="1"/>
    <col min="14343" max="14344" width="15.5703125" style="299" customWidth="1"/>
    <col min="14345" max="14345" width="25.5703125" style="299" customWidth="1"/>
    <col min="14346" max="14593" width="11.5703125" style="299"/>
    <col min="14594" max="14594" width="18.42578125" style="299" customWidth="1"/>
    <col min="14595" max="14595" width="47.42578125" style="299" customWidth="1"/>
    <col min="14596" max="14596" width="15.5703125" style="299" customWidth="1"/>
    <col min="14597" max="14597" width="17" style="299" customWidth="1"/>
    <col min="14598" max="14598" width="22.42578125" style="299" customWidth="1"/>
    <col min="14599" max="14600" width="15.5703125" style="299" customWidth="1"/>
    <col min="14601" max="14601" width="25.5703125" style="299" customWidth="1"/>
    <col min="14602" max="14849" width="11.5703125" style="299"/>
    <col min="14850" max="14850" width="18.42578125" style="299" customWidth="1"/>
    <col min="14851" max="14851" width="47.42578125" style="299" customWidth="1"/>
    <col min="14852" max="14852" width="15.5703125" style="299" customWidth="1"/>
    <col min="14853" max="14853" width="17" style="299" customWidth="1"/>
    <col min="14854" max="14854" width="22.42578125" style="299" customWidth="1"/>
    <col min="14855" max="14856" width="15.5703125" style="299" customWidth="1"/>
    <col min="14857" max="14857" width="25.5703125" style="299" customWidth="1"/>
    <col min="14858" max="15105" width="11.5703125" style="299"/>
    <col min="15106" max="15106" width="18.42578125" style="299" customWidth="1"/>
    <col min="15107" max="15107" width="47.42578125" style="299" customWidth="1"/>
    <col min="15108" max="15108" width="15.5703125" style="299" customWidth="1"/>
    <col min="15109" max="15109" width="17" style="299" customWidth="1"/>
    <col min="15110" max="15110" width="22.42578125" style="299" customWidth="1"/>
    <col min="15111" max="15112" width="15.5703125" style="299" customWidth="1"/>
    <col min="15113" max="15113" width="25.5703125" style="299" customWidth="1"/>
    <col min="15114" max="15361" width="11.5703125" style="299"/>
    <col min="15362" max="15362" width="18.42578125" style="299" customWidth="1"/>
    <col min="15363" max="15363" width="47.42578125" style="299" customWidth="1"/>
    <col min="15364" max="15364" width="15.5703125" style="299" customWidth="1"/>
    <col min="15365" max="15365" width="17" style="299" customWidth="1"/>
    <col min="15366" max="15366" width="22.42578125" style="299" customWidth="1"/>
    <col min="15367" max="15368" width="15.5703125" style="299" customWidth="1"/>
    <col min="15369" max="15369" width="25.5703125" style="299" customWidth="1"/>
    <col min="15370" max="15617" width="11.5703125" style="299"/>
    <col min="15618" max="15618" width="18.42578125" style="299" customWidth="1"/>
    <col min="15619" max="15619" width="47.42578125" style="299" customWidth="1"/>
    <col min="15620" max="15620" width="15.5703125" style="299" customWidth="1"/>
    <col min="15621" max="15621" width="17" style="299" customWidth="1"/>
    <col min="15622" max="15622" width="22.42578125" style="299" customWidth="1"/>
    <col min="15623" max="15624" width="15.5703125" style="299" customWidth="1"/>
    <col min="15625" max="15625" width="25.5703125" style="299" customWidth="1"/>
    <col min="15626" max="15873" width="11.5703125" style="299"/>
    <col min="15874" max="15874" width="18.42578125" style="299" customWidth="1"/>
    <col min="15875" max="15875" width="47.42578125" style="299" customWidth="1"/>
    <col min="15876" max="15876" width="15.5703125" style="299" customWidth="1"/>
    <col min="15877" max="15877" width="17" style="299" customWidth="1"/>
    <col min="15878" max="15878" width="22.42578125" style="299" customWidth="1"/>
    <col min="15879" max="15880" width="15.5703125" style="299" customWidth="1"/>
    <col min="15881" max="15881" width="25.5703125" style="299" customWidth="1"/>
    <col min="15882" max="16129" width="11.5703125" style="299"/>
    <col min="16130" max="16130" width="18.42578125" style="299" customWidth="1"/>
    <col min="16131" max="16131" width="47.42578125" style="299" customWidth="1"/>
    <col min="16132" max="16132" width="15.5703125" style="299" customWidth="1"/>
    <col min="16133" max="16133" width="17" style="299" customWidth="1"/>
    <col min="16134" max="16134" width="22.42578125" style="299" customWidth="1"/>
    <col min="16135" max="16136" width="15.5703125" style="299" customWidth="1"/>
    <col min="16137" max="16137" width="25.5703125" style="299" customWidth="1"/>
    <col min="16138" max="16384" width="11.5703125" style="299"/>
  </cols>
  <sheetData>
    <row r="1" spans="1:29" x14ac:dyDescent="0.2">
      <c r="A1" s="293" t="s">
        <v>175</v>
      </c>
      <c r="B1" s="293" t="s">
        <v>176</v>
      </c>
      <c r="C1" s="293" t="s">
        <v>177</v>
      </c>
      <c r="D1" s="293" t="s">
        <v>178</v>
      </c>
      <c r="E1" s="294" t="s">
        <v>179</v>
      </c>
      <c r="F1" s="293" t="s">
        <v>180</v>
      </c>
      <c r="G1" s="293" t="s">
        <v>181</v>
      </c>
      <c r="H1" s="293" t="s">
        <v>182</v>
      </c>
      <c r="I1" s="295" t="s">
        <v>183</v>
      </c>
      <c r="J1" s="295" t="s">
        <v>184</v>
      </c>
      <c r="K1" s="296" t="s">
        <v>185</v>
      </c>
      <c r="L1" s="297" t="s">
        <v>186</v>
      </c>
      <c r="M1" s="297" t="s">
        <v>187</v>
      </c>
      <c r="N1" s="297" t="s">
        <v>188</v>
      </c>
      <c r="O1" s="297" t="s">
        <v>189</v>
      </c>
      <c r="P1" s="298" t="s">
        <v>190</v>
      </c>
      <c r="Q1" s="298" t="s">
        <v>191</v>
      </c>
      <c r="R1" s="298" t="s">
        <v>192</v>
      </c>
      <c r="S1" s="298" t="s">
        <v>193</v>
      </c>
      <c r="T1" s="298" t="s">
        <v>194</v>
      </c>
      <c r="U1" s="295" t="s">
        <v>195</v>
      </c>
      <c r="V1" s="295" t="s">
        <v>196</v>
      </c>
      <c r="W1" s="295" t="s">
        <v>197</v>
      </c>
      <c r="X1" s="295" t="s">
        <v>198</v>
      </c>
      <c r="Y1" s="394" t="s">
        <v>243</v>
      </c>
      <c r="Z1" s="394" t="s">
        <v>244</v>
      </c>
      <c r="AA1" s="394" t="s">
        <v>245</v>
      </c>
      <c r="AB1" s="394" t="s">
        <v>246</v>
      </c>
      <c r="AC1" s="394" t="s">
        <v>247</v>
      </c>
    </row>
    <row r="2" spans="1:29" ht="25.5" x14ac:dyDescent="0.2">
      <c r="A2" s="921" t="str">
        <f>ROW()-1&amp;"_"&amp;TEXT(I2,"JJMMAA")</f>
        <v>1_251024</v>
      </c>
      <c r="B2" s="300" t="s">
        <v>1512</v>
      </c>
      <c r="C2" s="922" t="s">
        <v>1513</v>
      </c>
      <c r="D2" s="923" t="s">
        <v>1514</v>
      </c>
      <c r="E2" s="355">
        <f>+'13 - Issuer Account'!H55</f>
        <v>69180.350000000006</v>
      </c>
      <c r="F2" s="302" t="s">
        <v>687</v>
      </c>
      <c r="G2" s="303" t="s">
        <v>1523</v>
      </c>
      <c r="H2" s="303" t="str">
        <f t="shared" ref="H2:H13" si="0">+G2</f>
        <v>Transfert Financial Income Reserve to General</v>
      </c>
      <c r="I2" s="304">
        <f>+'00 - Cover'!$F$17</f>
        <v>45590</v>
      </c>
      <c r="J2" s="304">
        <f>+'00 - Cover'!$F$17</f>
        <v>45590</v>
      </c>
      <c r="K2" s="924" t="s">
        <v>1515</v>
      </c>
      <c r="L2" s="300" t="str">
        <f>$L$25</f>
        <v>FCH PRIME CASH 23 RES AC</v>
      </c>
      <c r="M2" s="300" t="s">
        <v>1518</v>
      </c>
      <c r="N2" s="300" t="s">
        <v>1517</v>
      </c>
      <c r="O2" s="305" t="s">
        <v>1516</v>
      </c>
      <c r="P2" s="300"/>
      <c r="Q2" s="300"/>
      <c r="R2" s="306"/>
      <c r="S2" s="301"/>
      <c r="T2" s="301"/>
      <c r="U2" s="300" t="s">
        <v>1519</v>
      </c>
      <c r="V2" s="300" t="s">
        <v>1518</v>
      </c>
      <c r="W2" s="300" t="s">
        <v>1517</v>
      </c>
      <c r="X2" s="300" t="s">
        <v>1520</v>
      </c>
      <c r="Y2" s="393"/>
      <c r="Z2" s="393"/>
      <c r="AA2" s="393"/>
      <c r="AB2" s="393"/>
      <c r="AC2" s="925" t="s">
        <v>1521</v>
      </c>
    </row>
    <row r="3" spans="1:29" ht="25.5" x14ac:dyDescent="0.2">
      <c r="A3" s="921" t="str">
        <f t="shared" ref="A3:A13" si="1">ROW()-1&amp;"_"&amp;TEXT(I3,"JJMMAA")</f>
        <v>2_251024</v>
      </c>
      <c r="B3" s="300" t="s">
        <v>1512</v>
      </c>
      <c r="C3" s="922" t="s">
        <v>1513</v>
      </c>
      <c r="D3" s="923" t="s">
        <v>1514</v>
      </c>
      <c r="E3" s="355">
        <f>+'13 - Issuer Account'!H24</f>
        <v>18354315.369999994</v>
      </c>
      <c r="F3" s="302" t="s">
        <v>687</v>
      </c>
      <c r="G3" s="303" t="s">
        <v>1522</v>
      </c>
      <c r="H3" s="303" t="str">
        <f t="shared" si="0"/>
        <v>Transfert General to Principal</v>
      </c>
      <c r="I3" s="304">
        <f>+'00 - Cover'!$F$17</f>
        <v>45590</v>
      </c>
      <c r="J3" s="304">
        <f>+'00 - Cover'!$F$17</f>
        <v>45590</v>
      </c>
      <c r="K3" s="924" t="s">
        <v>1515</v>
      </c>
      <c r="L3" s="300" t="str">
        <f>$L$22</f>
        <v>FCH PRIME CASH 23 GEN AC</v>
      </c>
      <c r="M3" s="300" t="s">
        <v>1518</v>
      </c>
      <c r="N3" s="300" t="s">
        <v>1517</v>
      </c>
      <c r="O3" s="300" t="s">
        <v>1520</v>
      </c>
      <c r="P3" s="300"/>
      <c r="Q3" s="300"/>
      <c r="R3" s="306"/>
      <c r="S3" s="301"/>
      <c r="T3" s="301"/>
      <c r="U3" s="300" t="s">
        <v>1524</v>
      </c>
      <c r="V3" s="300" t="s">
        <v>1518</v>
      </c>
      <c r="W3" s="300" t="s">
        <v>1517</v>
      </c>
      <c r="X3" s="300" t="s">
        <v>1525</v>
      </c>
      <c r="Y3" s="393"/>
      <c r="Z3" s="393"/>
      <c r="AA3" s="393"/>
      <c r="AB3" s="393"/>
      <c r="AC3" s="925" t="s">
        <v>1521</v>
      </c>
    </row>
    <row r="4" spans="1:29" ht="25.5" x14ac:dyDescent="0.2">
      <c r="A4" s="921" t="str">
        <f t="shared" si="1"/>
        <v>3_251024</v>
      </c>
      <c r="B4" s="300" t="s">
        <v>1512</v>
      </c>
      <c r="C4" s="922" t="s">
        <v>1513</v>
      </c>
      <c r="D4" s="923" t="s">
        <v>1514</v>
      </c>
      <c r="E4" s="355">
        <f>+'13 - Issuer Account'!H25</f>
        <v>12440426.0821</v>
      </c>
      <c r="F4" s="302" t="s">
        <v>687</v>
      </c>
      <c r="G4" s="303" t="s">
        <v>1528</v>
      </c>
      <c r="H4" s="303" t="str">
        <f t="shared" si="0"/>
        <v>Transfert General to Compte interets</v>
      </c>
      <c r="I4" s="304">
        <f>+'00 - Cover'!$F$17</f>
        <v>45590</v>
      </c>
      <c r="J4" s="304">
        <f>+'00 - Cover'!$F$17</f>
        <v>45590</v>
      </c>
      <c r="K4" s="924" t="s">
        <v>1515</v>
      </c>
      <c r="L4" s="300" t="str">
        <f>$L$22</f>
        <v>FCH PRIME CASH 23 GEN AC</v>
      </c>
      <c r="M4" s="300" t="s">
        <v>1518</v>
      </c>
      <c r="N4" s="300" t="s">
        <v>1517</v>
      </c>
      <c r="O4" s="300" t="s">
        <v>1520</v>
      </c>
      <c r="P4" s="307"/>
      <c r="Q4" s="300"/>
      <c r="R4" s="306"/>
      <c r="S4" s="301"/>
      <c r="T4" s="307"/>
      <c r="U4" s="300" t="s">
        <v>1527</v>
      </c>
      <c r="V4" s="300" t="s">
        <v>1518</v>
      </c>
      <c r="W4" s="300" t="s">
        <v>1517</v>
      </c>
      <c r="X4" s="300" t="s">
        <v>1526</v>
      </c>
      <c r="Y4" s="393"/>
      <c r="Z4" s="393"/>
      <c r="AA4" s="393"/>
      <c r="AB4" s="393"/>
      <c r="AC4" s="925" t="s">
        <v>1521</v>
      </c>
    </row>
    <row r="5" spans="1:29" x14ac:dyDescent="0.2">
      <c r="A5" s="921" t="str">
        <f t="shared" si="1"/>
        <v>4_251024</v>
      </c>
      <c r="B5" s="300" t="s">
        <v>1512</v>
      </c>
      <c r="C5" s="922" t="s">
        <v>1513</v>
      </c>
      <c r="D5" s="923" t="s">
        <v>1514</v>
      </c>
      <c r="E5" s="355">
        <f>+'15 - Priority of Payments'!I49</f>
        <v>404905.4</v>
      </c>
      <c r="F5" s="302" t="s">
        <v>687</v>
      </c>
      <c r="G5" s="308" t="s">
        <v>1529</v>
      </c>
      <c r="H5" s="303" t="str">
        <f t="shared" si="0"/>
        <v xml:space="preserve">Class A Notes Interest </v>
      </c>
      <c r="I5" s="304">
        <f>+'00 - Cover'!$F$17</f>
        <v>45590</v>
      </c>
      <c r="J5" s="304">
        <f>+'00 - Cover'!$F$17</f>
        <v>45590</v>
      </c>
      <c r="K5" s="924" t="s">
        <v>1515</v>
      </c>
      <c r="L5" s="300" t="str">
        <f t="shared" ref="L5:L10" si="2">$L$23</f>
        <v>FCH PRIME CASH 23 INT AC</v>
      </c>
      <c r="M5" s="300" t="s">
        <v>1518</v>
      </c>
      <c r="N5" s="300" t="s">
        <v>1517</v>
      </c>
      <c r="O5" s="300" t="s">
        <v>1526</v>
      </c>
      <c r="P5" s="307"/>
      <c r="Q5" s="300"/>
      <c r="R5" s="306"/>
      <c r="S5" s="301"/>
      <c r="T5" s="307"/>
      <c r="U5" s="300" t="s">
        <v>1532</v>
      </c>
      <c r="V5" s="300" t="s">
        <v>1533</v>
      </c>
      <c r="W5" s="300" t="s">
        <v>1531</v>
      </c>
      <c r="X5" s="300" t="s">
        <v>1530</v>
      </c>
      <c r="Y5" s="393"/>
      <c r="Z5" s="393"/>
      <c r="AA5" s="393"/>
      <c r="AB5" s="393"/>
      <c r="AC5" s="393" t="s">
        <v>1538</v>
      </c>
    </row>
    <row r="6" spans="1:29" ht="25.5" x14ac:dyDescent="0.2">
      <c r="A6" s="921" t="str">
        <f t="shared" si="1"/>
        <v>5_251024</v>
      </c>
      <c r="B6" s="300" t="s">
        <v>1512</v>
      </c>
      <c r="C6" s="922" t="s">
        <v>1513</v>
      </c>
      <c r="D6" s="923" t="s">
        <v>1514</v>
      </c>
      <c r="E6" s="355">
        <f>+'14 - Fees'!J20+'14 - Fees'!J21+'14 - Fees'!J32</f>
        <v>16123.29</v>
      </c>
      <c r="F6" s="302" t="s">
        <v>687</v>
      </c>
      <c r="G6" s="926" t="s">
        <v>1539</v>
      </c>
      <c r="H6" s="303" t="str">
        <f t="shared" si="0"/>
        <v xml:space="preserve">Fees - Management Company </v>
      </c>
      <c r="I6" s="304">
        <f>+'00 - Cover'!$F$17</f>
        <v>45590</v>
      </c>
      <c r="J6" s="304">
        <f>+'00 - Cover'!$F$17</f>
        <v>45590</v>
      </c>
      <c r="K6" s="924" t="s">
        <v>1515</v>
      </c>
      <c r="L6" s="300" t="str">
        <f t="shared" si="2"/>
        <v>FCH PRIME CASH 23 INT AC</v>
      </c>
      <c r="M6" s="300" t="s">
        <v>1518</v>
      </c>
      <c r="N6" s="300" t="s">
        <v>1517</v>
      </c>
      <c r="O6" s="300" t="s">
        <v>1526</v>
      </c>
      <c r="P6" s="307"/>
      <c r="Q6" s="300"/>
      <c r="R6" s="306"/>
      <c r="S6" s="301"/>
      <c r="T6" s="307"/>
      <c r="U6" s="922" t="s">
        <v>1534</v>
      </c>
      <c r="V6" s="922" t="s">
        <v>1535</v>
      </c>
      <c r="W6" s="922" t="s">
        <v>1536</v>
      </c>
      <c r="X6" s="922" t="s">
        <v>1537</v>
      </c>
      <c r="Y6" s="393"/>
      <c r="Z6" s="393"/>
      <c r="AA6" s="393"/>
      <c r="AB6" s="393"/>
      <c r="AC6" s="925" t="s">
        <v>1521</v>
      </c>
    </row>
    <row r="7" spans="1:29" x14ac:dyDescent="0.2">
      <c r="A7" s="921" t="str">
        <f t="shared" si="1"/>
        <v>6_251024</v>
      </c>
      <c r="B7" s="300" t="s">
        <v>1512</v>
      </c>
      <c r="C7" s="922" t="s">
        <v>1513</v>
      </c>
      <c r="D7" s="923" t="s">
        <v>1514</v>
      </c>
      <c r="E7" s="355">
        <f>+'14 - Fees'!J37+'14 - Fees'!J38+'14 - Fees'!J39</f>
        <v>12711.349999999999</v>
      </c>
      <c r="F7" s="302" t="s">
        <v>687</v>
      </c>
      <c r="G7" s="927" t="s">
        <v>1540</v>
      </c>
      <c r="H7" s="303" t="str">
        <f t="shared" si="0"/>
        <v>Fees - Custodian</v>
      </c>
      <c r="I7" s="304">
        <f>+'00 - Cover'!$F$17</f>
        <v>45590</v>
      </c>
      <c r="J7" s="304">
        <f>+'00 - Cover'!$F$17</f>
        <v>45590</v>
      </c>
      <c r="K7" s="924" t="s">
        <v>1515</v>
      </c>
      <c r="L7" s="300" t="str">
        <f t="shared" si="2"/>
        <v>FCH PRIME CASH 23 INT AC</v>
      </c>
      <c r="M7" s="300" t="s">
        <v>1518</v>
      </c>
      <c r="N7" s="300" t="s">
        <v>1517</v>
      </c>
      <c r="O7" s="300" t="s">
        <v>1526</v>
      </c>
      <c r="P7" s="307"/>
      <c r="Q7" s="300"/>
      <c r="R7" s="306"/>
      <c r="S7" s="301"/>
      <c r="T7" s="307"/>
      <c r="U7" s="300" t="s">
        <v>1533</v>
      </c>
      <c r="V7" s="300" t="s">
        <v>1599</v>
      </c>
      <c r="W7" s="300" t="s">
        <v>1517</v>
      </c>
      <c r="X7" s="300" t="s">
        <v>1597</v>
      </c>
      <c r="Y7" s="393"/>
      <c r="Z7" s="393"/>
      <c r="AA7" s="393"/>
      <c r="AB7" s="393"/>
      <c r="AC7" s="393"/>
    </row>
    <row r="8" spans="1:29" x14ac:dyDescent="0.2">
      <c r="A8" s="921" t="str">
        <f t="shared" si="1"/>
        <v>7_251024</v>
      </c>
      <c r="B8" s="300" t="s">
        <v>1512</v>
      </c>
      <c r="C8" s="922" t="s">
        <v>1513</v>
      </c>
      <c r="D8" s="923" t="s">
        <v>1514</v>
      </c>
      <c r="E8" s="355">
        <f>+'14 - Fees'!J48</f>
        <v>603.27868852459017</v>
      </c>
      <c r="F8" s="302" t="s">
        <v>687</v>
      </c>
      <c r="G8" s="927" t="s">
        <v>1541</v>
      </c>
      <c r="H8" s="303" t="str">
        <f t="shared" si="0"/>
        <v xml:space="preserve">Fees - FCT Account Bank </v>
      </c>
      <c r="I8" s="304">
        <f>+'00 - Cover'!$F$17</f>
        <v>45590</v>
      </c>
      <c r="J8" s="304">
        <f>+'00 - Cover'!$F$17</f>
        <v>45590</v>
      </c>
      <c r="K8" s="924" t="s">
        <v>1515</v>
      </c>
      <c r="L8" s="300" t="str">
        <f t="shared" si="2"/>
        <v>FCH PRIME CASH 23 INT AC</v>
      </c>
      <c r="M8" s="300" t="s">
        <v>1518</v>
      </c>
      <c r="N8" s="300" t="s">
        <v>1517</v>
      </c>
      <c r="O8" s="300" t="s">
        <v>1526</v>
      </c>
      <c r="P8" s="307"/>
      <c r="Q8" s="300"/>
      <c r="R8" s="306"/>
      <c r="S8" s="301"/>
      <c r="T8" s="307"/>
      <c r="U8" s="300" t="s">
        <v>1533</v>
      </c>
      <c r="V8" s="300" t="s">
        <v>1533</v>
      </c>
      <c r="W8" s="300" t="s">
        <v>1517</v>
      </c>
      <c r="X8" s="300" t="s">
        <v>1598</v>
      </c>
      <c r="Y8" s="393"/>
      <c r="Z8" s="393"/>
      <c r="AA8" s="393"/>
      <c r="AB8" s="393"/>
      <c r="AC8" s="393"/>
    </row>
    <row r="9" spans="1:29" x14ac:dyDescent="0.2">
      <c r="A9" s="921" t="str">
        <f t="shared" si="1"/>
        <v>8_251024</v>
      </c>
      <c r="B9" s="300" t="s">
        <v>1512</v>
      </c>
      <c r="C9" s="922" t="s">
        <v>1513</v>
      </c>
      <c r="D9" s="923" t="s">
        <v>1514</v>
      </c>
      <c r="E9" s="355">
        <f>+'14 - Fees'!J50+'14 - Fees'!J51+'14 - Fees'!J52+'14 - Fees'!J53+'14 - Fees'!J55</f>
        <v>1892.4590163934427</v>
      </c>
      <c r="F9" s="302" t="s">
        <v>687</v>
      </c>
      <c r="G9" s="949" t="s">
        <v>1542</v>
      </c>
      <c r="H9" s="303" t="str">
        <f t="shared" si="0"/>
        <v>Fees - FCT Paying Agent Fees</v>
      </c>
      <c r="I9" s="304">
        <f>+'00 - Cover'!$F$17</f>
        <v>45590</v>
      </c>
      <c r="J9" s="304">
        <f>+'00 - Cover'!$F$17</f>
        <v>45590</v>
      </c>
      <c r="K9" s="924" t="s">
        <v>1515</v>
      </c>
      <c r="L9" s="300" t="str">
        <f t="shared" si="2"/>
        <v>FCH PRIME CASH 23 INT AC</v>
      </c>
      <c r="M9" s="300" t="s">
        <v>1518</v>
      </c>
      <c r="N9" s="300" t="s">
        <v>1517</v>
      </c>
      <c r="O9" s="300" t="s">
        <v>1526</v>
      </c>
      <c r="P9" s="307"/>
      <c r="Q9" s="300"/>
      <c r="R9" s="306"/>
      <c r="S9" s="301"/>
      <c r="T9" s="307"/>
      <c r="U9" s="300" t="s">
        <v>1533</v>
      </c>
      <c r="V9" s="300" t="s">
        <v>1533</v>
      </c>
      <c r="W9" s="300" t="s">
        <v>1517</v>
      </c>
      <c r="X9" s="300" t="s">
        <v>1598</v>
      </c>
      <c r="Y9" s="393"/>
      <c r="Z9" s="393"/>
      <c r="AA9" s="393"/>
      <c r="AB9" s="393"/>
      <c r="AC9" s="393"/>
    </row>
    <row r="10" spans="1:29" x14ac:dyDescent="0.2">
      <c r="A10" s="921" t="str">
        <f t="shared" si="1"/>
        <v>9_251024</v>
      </c>
      <c r="B10" s="300" t="s">
        <v>1512</v>
      </c>
      <c r="C10" s="922" t="s">
        <v>1513</v>
      </c>
      <c r="D10" s="923" t="s">
        <v>1514</v>
      </c>
      <c r="E10" s="355">
        <f>+'14 - Fees'!J58</f>
        <v>301.63934426229508</v>
      </c>
      <c r="F10" s="302" t="s">
        <v>687</v>
      </c>
      <c r="G10" s="949" t="s">
        <v>1543</v>
      </c>
      <c r="H10" s="303" t="str">
        <f t="shared" si="0"/>
        <v>Fees - Data Protection Agent</v>
      </c>
      <c r="I10" s="304">
        <f>+'00 - Cover'!$F$17</f>
        <v>45590</v>
      </c>
      <c r="J10" s="304">
        <f>+'00 - Cover'!$F$17</f>
        <v>45590</v>
      </c>
      <c r="K10" s="924" t="s">
        <v>1515</v>
      </c>
      <c r="L10" s="300" t="str">
        <f t="shared" si="2"/>
        <v>FCH PRIME CASH 23 INT AC</v>
      </c>
      <c r="M10" s="300" t="s">
        <v>1518</v>
      </c>
      <c r="N10" s="300" t="s">
        <v>1517</v>
      </c>
      <c r="O10" s="300" t="s">
        <v>1526</v>
      </c>
      <c r="P10" s="307"/>
      <c r="Q10" s="300"/>
      <c r="R10" s="306"/>
      <c r="S10" s="301"/>
      <c r="T10" s="307"/>
      <c r="U10" s="300" t="s">
        <v>1533</v>
      </c>
      <c r="V10" s="300" t="s">
        <v>1533</v>
      </c>
      <c r="W10" s="300" t="s">
        <v>1517</v>
      </c>
      <c r="X10" s="300" t="s">
        <v>1598</v>
      </c>
      <c r="Y10" s="393"/>
      <c r="Z10" s="393"/>
      <c r="AA10" s="393"/>
      <c r="AB10" s="393"/>
      <c r="AC10" s="393"/>
    </row>
    <row r="11" spans="1:29" x14ac:dyDescent="0.2">
      <c r="A11" s="921" t="str">
        <f t="shared" si="1"/>
        <v>10_251024</v>
      </c>
      <c r="B11" s="300" t="s">
        <v>1512</v>
      </c>
      <c r="C11" s="922" t="s">
        <v>1513</v>
      </c>
      <c r="D11" s="923" t="s">
        <v>1514</v>
      </c>
      <c r="E11" s="395">
        <f>+'15 - Priority of Payments'!I25</f>
        <v>18354315.369999994</v>
      </c>
      <c r="F11" s="302" t="s">
        <v>687</v>
      </c>
      <c r="G11" s="396" t="s">
        <v>1544</v>
      </c>
      <c r="H11" s="303" t="str">
        <f t="shared" si="0"/>
        <v>Redemption Class A</v>
      </c>
      <c r="I11" s="304">
        <f>+'00 - Cover'!$F$17</f>
        <v>45590</v>
      </c>
      <c r="J11" s="304">
        <f>+'00 - Cover'!$F$17</f>
        <v>45590</v>
      </c>
      <c r="K11" s="924" t="s">
        <v>1515</v>
      </c>
      <c r="L11" s="300" t="str">
        <f>L24</f>
        <v>FCH PRIME CASH 23 PP ACC</v>
      </c>
      <c r="M11" s="300" t="s">
        <v>1518</v>
      </c>
      <c r="N11" s="300" t="s">
        <v>1517</v>
      </c>
      <c r="O11" s="300" t="s">
        <v>1525</v>
      </c>
      <c r="P11" s="307"/>
      <c r="Q11" s="300"/>
      <c r="R11" s="306"/>
      <c r="S11" s="301"/>
      <c r="T11" s="307"/>
      <c r="U11" s="300" t="s">
        <v>1532</v>
      </c>
      <c r="V11" s="300" t="s">
        <v>1533</v>
      </c>
      <c r="W11" s="300" t="s">
        <v>1531</v>
      </c>
      <c r="X11" s="300" t="s">
        <v>1530</v>
      </c>
      <c r="Y11" s="393"/>
      <c r="Z11" s="393"/>
      <c r="AA11" s="393"/>
      <c r="AB11" s="393"/>
      <c r="AC11" s="393" t="s">
        <v>1538</v>
      </c>
    </row>
    <row r="12" spans="1:29" x14ac:dyDescent="0.2">
      <c r="A12" s="921" t="str">
        <f t="shared" si="1"/>
        <v>11_251024</v>
      </c>
      <c r="B12" s="300" t="s">
        <v>1512</v>
      </c>
      <c r="C12" s="922" t="s">
        <v>1513</v>
      </c>
      <c r="D12" s="923" t="s">
        <v>1514</v>
      </c>
      <c r="E12" s="395">
        <f>+'15 - Priority of Payments'!I56</f>
        <v>2244560.2929508174</v>
      </c>
      <c r="F12" s="302" t="s">
        <v>687</v>
      </c>
      <c r="G12" s="396" t="s">
        <v>1545</v>
      </c>
      <c r="H12" s="303" t="str">
        <f t="shared" si="0"/>
        <v>Interest to the Residual Unitholders</v>
      </c>
      <c r="I12" s="304">
        <f>+'00 - Cover'!$F$17</f>
        <v>45590</v>
      </c>
      <c r="J12" s="304">
        <f>+'00 - Cover'!$F$17</f>
        <v>45590</v>
      </c>
      <c r="K12" s="924" t="s">
        <v>1515</v>
      </c>
      <c r="L12" s="300" t="str">
        <f>$L$23</f>
        <v>FCH PRIME CASH 23 INT AC</v>
      </c>
      <c r="M12" s="300" t="s">
        <v>1518</v>
      </c>
      <c r="N12" s="300" t="s">
        <v>1517</v>
      </c>
      <c r="O12" s="300" t="s">
        <v>1526</v>
      </c>
      <c r="P12" s="307"/>
      <c r="Q12" s="300"/>
      <c r="R12" s="306"/>
      <c r="S12" s="301"/>
      <c r="T12" s="307"/>
      <c r="U12" s="300" t="s">
        <v>1595</v>
      </c>
      <c r="V12" s="300" t="s">
        <v>250</v>
      </c>
      <c r="W12" s="300" t="s">
        <v>1593</v>
      </c>
      <c r="X12" s="300" t="s">
        <v>1594</v>
      </c>
      <c r="Y12" s="393"/>
      <c r="Z12" s="393"/>
      <c r="AA12" s="393"/>
      <c r="AB12" s="393"/>
      <c r="AC12" s="393"/>
    </row>
    <row r="13" spans="1:29" x14ac:dyDescent="0.2">
      <c r="A13" s="921" t="str">
        <f t="shared" si="1"/>
        <v>12_251024</v>
      </c>
      <c r="B13" s="300" t="s">
        <v>1512</v>
      </c>
      <c r="C13" s="922" t="s">
        <v>1513</v>
      </c>
      <c r="D13" s="923" t="s">
        <v>1514</v>
      </c>
      <c r="E13" s="395">
        <f>+'14 - Fees'!J61+'14 - Fees'!J62</f>
        <v>1861.37</v>
      </c>
      <c r="F13" s="302" t="s">
        <v>687</v>
      </c>
      <c r="G13" s="308" t="s">
        <v>1546</v>
      </c>
      <c r="H13" s="303" t="str">
        <f t="shared" si="0"/>
        <v>Fees - Servicer</v>
      </c>
      <c r="I13" s="304">
        <f>+'00 - Cover'!$F$17</f>
        <v>45590</v>
      </c>
      <c r="J13" s="304">
        <f>+'00 - Cover'!$F$17</f>
        <v>45590</v>
      </c>
      <c r="K13" s="924" t="s">
        <v>1515</v>
      </c>
      <c r="L13" s="300" t="str">
        <f>$L$23</f>
        <v>FCH PRIME CASH 23 INT AC</v>
      </c>
      <c r="M13" s="300" t="s">
        <v>1518</v>
      </c>
      <c r="N13" s="300" t="s">
        <v>1517</v>
      </c>
      <c r="O13" s="300" t="s">
        <v>1526</v>
      </c>
      <c r="P13" s="307"/>
      <c r="Q13" s="300"/>
      <c r="R13" s="306"/>
      <c r="S13" s="301"/>
      <c r="T13" s="307"/>
      <c r="U13" s="300" t="s">
        <v>1595</v>
      </c>
      <c r="V13" s="300" t="s">
        <v>250</v>
      </c>
      <c r="W13" s="300" t="s">
        <v>1593</v>
      </c>
      <c r="X13" s="300" t="s">
        <v>1594</v>
      </c>
      <c r="Y13" s="393"/>
      <c r="Z13" s="393"/>
      <c r="AA13" s="393"/>
      <c r="AB13" s="393"/>
      <c r="AC13" s="393"/>
    </row>
    <row r="14" spans="1:29" ht="25.5" x14ac:dyDescent="0.2">
      <c r="A14" s="921" t="str">
        <f t="shared" ref="A14:A15" si="3">ROW()-1&amp;"_"&amp;TEXT(I14,"JJMMAA")</f>
        <v>13_251024</v>
      </c>
      <c r="B14" s="300" t="s">
        <v>1512</v>
      </c>
      <c r="C14" s="922" t="s">
        <v>1513</v>
      </c>
      <c r="D14" s="923" t="s">
        <v>1514</v>
      </c>
      <c r="E14" s="395">
        <f>'13 - Issuer Account'!I54</f>
        <v>9754251.5420999993</v>
      </c>
      <c r="F14" s="302" t="s">
        <v>687</v>
      </c>
      <c r="G14" s="303" t="s">
        <v>1600</v>
      </c>
      <c r="H14" s="303" t="str">
        <f t="shared" ref="H14:H15" si="4">+G14</f>
        <v>Transfert Financial Reserve to General</v>
      </c>
      <c r="I14" s="304">
        <f>+'00 - Cover'!$F$17</f>
        <v>45590</v>
      </c>
      <c r="J14" s="304">
        <f>+'00 - Cover'!$F$17</f>
        <v>45590</v>
      </c>
      <c r="K14" s="924" t="s">
        <v>1515</v>
      </c>
      <c r="L14" s="300" t="str">
        <f>$L$25</f>
        <v>FCH PRIME CASH 23 RES AC</v>
      </c>
      <c r="M14" s="300" t="s">
        <v>1518</v>
      </c>
      <c r="N14" s="300" t="s">
        <v>1517</v>
      </c>
      <c r="O14" s="305" t="s">
        <v>1516</v>
      </c>
      <c r="P14" s="300"/>
      <c r="Q14" s="300"/>
      <c r="R14" s="306"/>
      <c r="S14" s="301"/>
      <c r="T14" s="301"/>
      <c r="U14" s="300" t="s">
        <v>1519</v>
      </c>
      <c r="V14" s="300" t="s">
        <v>1518</v>
      </c>
      <c r="W14" s="300" t="s">
        <v>1517</v>
      </c>
      <c r="X14" s="300" t="s">
        <v>1520</v>
      </c>
      <c r="Y14" s="393"/>
      <c r="Z14" s="393"/>
      <c r="AA14" s="393"/>
      <c r="AB14" s="393"/>
      <c r="AC14" s="925" t="s">
        <v>1521</v>
      </c>
    </row>
    <row r="15" spans="1:29" x14ac:dyDescent="0.2">
      <c r="A15" s="921" t="str">
        <f t="shared" si="3"/>
        <v>14_251024</v>
      </c>
      <c r="B15" s="300" t="s">
        <v>1512</v>
      </c>
      <c r="C15" s="922" t="s">
        <v>1513</v>
      </c>
      <c r="D15" s="923" t="s">
        <v>1514</v>
      </c>
      <c r="E15" s="355">
        <f>+'13 - Issuer Account'!H56</f>
        <v>9507056.7161999997</v>
      </c>
      <c r="F15" s="302" t="s">
        <v>687</v>
      </c>
      <c r="G15" s="303" t="s">
        <v>1601</v>
      </c>
      <c r="H15" s="303" t="str">
        <f t="shared" si="4"/>
        <v>Transfert requiered reserved amount</v>
      </c>
      <c r="I15" s="304">
        <f>+'00 - Cover'!$F$17</f>
        <v>45590</v>
      </c>
      <c r="J15" s="304">
        <f>+'00 - Cover'!$F$17</f>
        <v>45590</v>
      </c>
      <c r="K15" s="924" t="s">
        <v>1515</v>
      </c>
      <c r="L15" s="300" t="str">
        <f t="shared" ref="L15" si="5">$L$23</f>
        <v>FCH PRIME CASH 23 INT AC</v>
      </c>
      <c r="M15" s="300" t="s">
        <v>1518</v>
      </c>
      <c r="N15" s="300" t="s">
        <v>1517</v>
      </c>
      <c r="O15" s="300" t="s">
        <v>1526</v>
      </c>
      <c r="P15" s="300"/>
      <c r="Q15" s="300"/>
      <c r="R15" s="306"/>
      <c r="S15" s="301"/>
      <c r="T15" s="301"/>
      <c r="U15" s="300" t="str">
        <f>$L$25</f>
        <v>FCH PRIME CASH 23 RES AC</v>
      </c>
      <c r="V15" s="300" t="s">
        <v>1518</v>
      </c>
      <c r="W15" s="300" t="s">
        <v>1517</v>
      </c>
      <c r="X15" s="305" t="s">
        <v>1516</v>
      </c>
    </row>
    <row r="16" spans="1:29" x14ac:dyDescent="0.2">
      <c r="E16" s="299"/>
      <c r="G16" s="310"/>
    </row>
    <row r="17" spans="3:14" x14ac:dyDescent="0.2">
      <c r="C17" s="112"/>
      <c r="G17" s="310"/>
    </row>
    <row r="18" spans="3:14" ht="12" customHeight="1" x14ac:dyDescent="0.2">
      <c r="C18" s="112"/>
      <c r="G18" s="310"/>
      <c r="H18" s="310"/>
    </row>
    <row r="19" spans="3:14" ht="12" customHeight="1" x14ac:dyDescent="0.2">
      <c r="C19" s="112"/>
      <c r="G19" s="310"/>
      <c r="H19" s="310"/>
    </row>
    <row r="20" spans="3:14" ht="13.5" thickBot="1" x14ac:dyDescent="0.25">
      <c r="C20" s="112"/>
      <c r="H20" s="310"/>
    </row>
    <row r="21" spans="3:14" ht="12.75" customHeight="1" thickBot="1" x14ac:dyDescent="0.3">
      <c r="C21" s="112"/>
      <c r="H21" s="310"/>
      <c r="L21" s="947" t="s">
        <v>1584</v>
      </c>
      <c r="M21" s="947" t="s">
        <v>1582</v>
      </c>
      <c r="N21" s="947" t="s">
        <v>1560</v>
      </c>
    </row>
    <row r="22" spans="3:14" ht="14.25" customHeight="1" x14ac:dyDescent="0.25">
      <c r="C22" s="112"/>
      <c r="H22" s="310"/>
      <c r="L22" s="948" t="s">
        <v>1585</v>
      </c>
      <c r="M22" s="950" t="s">
        <v>1554</v>
      </c>
      <c r="N22" s="950" t="s">
        <v>1589</v>
      </c>
    </row>
    <row r="23" spans="3:14" ht="14.25" customHeight="1" x14ac:dyDescent="0.25">
      <c r="C23" s="112"/>
      <c r="H23" s="310"/>
      <c r="L23" s="948" t="s">
        <v>1586</v>
      </c>
      <c r="M23" s="950" t="s">
        <v>1554</v>
      </c>
      <c r="N23" s="950" t="s">
        <v>1590</v>
      </c>
    </row>
    <row r="24" spans="3:14" ht="14.25" customHeight="1" x14ac:dyDescent="0.25">
      <c r="C24" s="112"/>
      <c r="H24" s="310"/>
      <c r="L24" s="948" t="s">
        <v>1587</v>
      </c>
      <c r="M24" s="950" t="s">
        <v>1554</v>
      </c>
      <c r="N24" s="950" t="s">
        <v>1591</v>
      </c>
    </row>
    <row r="25" spans="3:14" ht="14.25" customHeight="1" x14ac:dyDescent="0.25">
      <c r="E25" s="356"/>
      <c r="F25" s="309"/>
      <c r="L25" s="948" t="s">
        <v>1588</v>
      </c>
      <c r="M25" s="950" t="s">
        <v>1554</v>
      </c>
      <c r="N25" s="950" t="s">
        <v>1592</v>
      </c>
    </row>
    <row r="26" spans="3:14" ht="12.75" customHeight="1" x14ac:dyDescent="0.2">
      <c r="D26" s="310"/>
    </row>
    <row r="27" spans="3:14" ht="15.75" customHeight="1" x14ac:dyDescent="0.2">
      <c r="D27" s="310"/>
    </row>
    <row r="28" spans="3:14" ht="15.75" customHeight="1" x14ac:dyDescent="0.2">
      <c r="D28" s="310"/>
    </row>
    <row r="29" spans="3:14" ht="15.75" customHeight="1" x14ac:dyDescent="0.2">
      <c r="D29" s="310"/>
    </row>
    <row r="30" spans="3:14" ht="15.75" customHeight="1" x14ac:dyDescent="0.2">
      <c r="D30" s="310"/>
    </row>
    <row r="31" spans="3:14" x14ac:dyDescent="0.2">
      <c r="D31" s="310"/>
    </row>
    <row r="34" spans="4:4" x14ac:dyDescent="0.2">
      <c r="D34" s="310"/>
    </row>
  </sheetData>
  <phoneticPr fontId="111" type="noConversion"/>
  <pageMargins left="0.7" right="0.7" top="0.75" bottom="0.75" header="0.3" footer="0.3"/>
  <pageSetup paperSize="9" scale="17"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E2E9-01CB-4FD2-A8E9-E73DB40D59AB}">
  <dimension ref="B2:G30"/>
  <sheetViews>
    <sheetView workbookViewId="0">
      <selection activeCell="F21" sqref="F21"/>
    </sheetView>
  </sheetViews>
  <sheetFormatPr defaultRowHeight="12.75" x14ac:dyDescent="0.2"/>
  <cols>
    <col min="2" max="2" width="10.140625" bestFit="1" customWidth="1"/>
    <col min="3" max="3" width="13.28515625" customWidth="1"/>
    <col min="4" max="4" width="19.42578125" bestFit="1" customWidth="1"/>
    <col min="5" max="5" width="12.7109375" bestFit="1" customWidth="1"/>
    <col min="6" max="6" width="13.85546875" bestFit="1" customWidth="1"/>
  </cols>
  <sheetData>
    <row r="2" spans="2:7" x14ac:dyDescent="0.2">
      <c r="B2" s="4" t="s">
        <v>25</v>
      </c>
      <c r="C2" s="4" t="s">
        <v>2542</v>
      </c>
      <c r="D2" s="4" t="s">
        <v>2543</v>
      </c>
      <c r="G2" s="4" t="s">
        <v>2544</v>
      </c>
    </row>
    <row r="3" spans="2:7" ht="13.5" thickBot="1" x14ac:dyDescent="0.25">
      <c r="D3" s="1056"/>
      <c r="E3" s="1056"/>
      <c r="G3" s="1056"/>
    </row>
    <row r="4" spans="2:7" x14ac:dyDescent="0.2">
      <c r="B4" s="1046">
        <f>+'00 - Cover'!$F$17</f>
        <v>45590</v>
      </c>
      <c r="C4" s="1047">
        <v>580000</v>
      </c>
      <c r="D4" s="1048" t="str">
        <f>"IPD "&amp;DAY(B4)&amp;MONTH(B4)</f>
        <v>IPD 2510</v>
      </c>
      <c r="E4" s="1064">
        <f>+ROUND('13 - Issuer Account'!H59,2)</f>
        <v>9823431.8900000006</v>
      </c>
      <c r="F4" s="1062"/>
      <c r="G4" s="1051" t="s">
        <v>2546</v>
      </c>
    </row>
    <row r="5" spans="2:7" x14ac:dyDescent="0.2">
      <c r="B5" s="1052">
        <f>+'00 - Cover'!$F$17</f>
        <v>45590</v>
      </c>
      <c r="C5">
        <v>512100</v>
      </c>
      <c r="D5" s="4" t="str">
        <f t="shared" ref="D5:D19" si="0">"IPD "&amp;DAY(B5)&amp;MONTH(B5)</f>
        <v>IPD 2510</v>
      </c>
      <c r="E5" s="1061"/>
      <c r="F5" s="1063">
        <f>+E4</f>
        <v>9823431.8900000006</v>
      </c>
      <c r="G5" s="1054" t="s">
        <v>2546</v>
      </c>
    </row>
    <row r="6" spans="2:7" x14ac:dyDescent="0.2">
      <c r="B6" s="1052">
        <f>+'00 - Cover'!$F$17</f>
        <v>45590</v>
      </c>
      <c r="C6">
        <v>580000</v>
      </c>
      <c r="D6" s="4" t="str">
        <f t="shared" si="0"/>
        <v>IPD 2510</v>
      </c>
      <c r="E6" s="1061"/>
      <c r="F6" s="1063">
        <f>+ROUND('13 - Issuer Account'!H56,2)</f>
        <v>9507056.7200000007</v>
      </c>
      <c r="G6" s="1054" t="s">
        <v>2546</v>
      </c>
    </row>
    <row r="7" spans="2:7" ht="13.5" thickBot="1" x14ac:dyDescent="0.25">
      <c r="B7" s="1055">
        <f>+'00 - Cover'!$F$17</f>
        <v>45590</v>
      </c>
      <c r="C7" s="1056">
        <v>512100</v>
      </c>
      <c r="D7" s="1057" t="str">
        <f t="shared" si="0"/>
        <v>IPD 2510</v>
      </c>
      <c r="E7" s="1065">
        <f>+F6</f>
        <v>9507056.7200000007</v>
      </c>
      <c r="F7" s="1066"/>
      <c r="G7" s="1060" t="s">
        <v>2546</v>
      </c>
    </row>
    <row r="8" spans="2:7" x14ac:dyDescent="0.2">
      <c r="B8" s="1052">
        <f>+'00 - Cover'!$F$17</f>
        <v>45590</v>
      </c>
      <c r="C8">
        <v>580000</v>
      </c>
      <c r="D8" s="1048" t="str">
        <f>"IPD "&amp;DAY(B8)&amp;MONTH(B8)</f>
        <v>IPD 2510</v>
      </c>
      <c r="E8" s="1061">
        <f>+ROUND('13 - Issuer Account'!H56,2)</f>
        <v>9507056.7200000007</v>
      </c>
      <c r="F8" s="1063"/>
      <c r="G8" s="1054" t="s">
        <v>2547</v>
      </c>
    </row>
    <row r="9" spans="2:7" x14ac:dyDescent="0.2">
      <c r="B9" s="1052">
        <f>+'00 - Cover'!$F$17</f>
        <v>45590</v>
      </c>
      <c r="C9">
        <v>512200</v>
      </c>
      <c r="D9" s="4" t="str">
        <f t="shared" si="0"/>
        <v>IPD 2510</v>
      </c>
      <c r="E9" s="1061"/>
      <c r="F9" s="1063">
        <f>+E8</f>
        <v>9507056.7200000007</v>
      </c>
      <c r="G9" s="1054" t="s">
        <v>2547</v>
      </c>
    </row>
    <row r="10" spans="2:7" x14ac:dyDescent="0.2">
      <c r="B10" s="1052">
        <f>+'00 - Cover'!$F$17</f>
        <v>45590</v>
      </c>
      <c r="C10">
        <v>580000</v>
      </c>
      <c r="D10" s="4" t="str">
        <f t="shared" si="0"/>
        <v>IPD 2510</v>
      </c>
      <c r="E10" s="1061"/>
      <c r="F10" s="1063">
        <f>+ROUND('13 - Issuer Account'!H47,2)</f>
        <v>12440726.08</v>
      </c>
      <c r="G10" s="1054" t="s">
        <v>2547</v>
      </c>
    </row>
    <row r="11" spans="2:7" x14ac:dyDescent="0.2">
      <c r="B11" s="1052">
        <f>+'00 - Cover'!$F$17</f>
        <v>45590</v>
      </c>
      <c r="C11">
        <v>512200</v>
      </c>
      <c r="D11" s="4" t="str">
        <f t="shared" si="0"/>
        <v>IPD 2510</v>
      </c>
      <c r="E11" s="1053">
        <f>+F10</f>
        <v>12440726.08</v>
      </c>
      <c r="F11" s="5"/>
      <c r="G11" s="1054" t="s">
        <v>2547</v>
      </c>
    </row>
    <row r="12" spans="2:7" x14ac:dyDescent="0.2">
      <c r="B12" s="1052">
        <f>+'00 - Cover'!$F$17</f>
        <v>45590</v>
      </c>
      <c r="C12">
        <v>653000</v>
      </c>
      <c r="D12" s="4" t="str">
        <f t="shared" si="0"/>
        <v>IPD 2510</v>
      </c>
      <c r="E12" s="1053">
        <f>+ROUND(('14 - Fees'!J74-'14 - Fees'!J61),2)</f>
        <v>31632.02</v>
      </c>
      <c r="F12" s="5"/>
      <c r="G12" s="1054" t="s">
        <v>2547</v>
      </c>
    </row>
    <row r="13" spans="2:7" x14ac:dyDescent="0.2">
      <c r="B13" s="1052">
        <f>+'00 - Cover'!$F$17</f>
        <v>45590</v>
      </c>
      <c r="C13">
        <v>654000</v>
      </c>
      <c r="D13" s="4" t="str">
        <f t="shared" si="0"/>
        <v>IPD 2510</v>
      </c>
      <c r="E13" s="1053">
        <f>+ROUND('14 - Fees'!J61,2)</f>
        <v>1861.37</v>
      </c>
      <c r="F13" s="5"/>
      <c r="G13" s="1054" t="s">
        <v>2547</v>
      </c>
    </row>
    <row r="14" spans="2:7" x14ac:dyDescent="0.2">
      <c r="B14" s="1052">
        <f>+'00 - Cover'!$F$17</f>
        <v>45590</v>
      </c>
      <c r="C14">
        <v>512200</v>
      </c>
      <c r="D14" s="4" t="str">
        <f t="shared" si="0"/>
        <v>IPD 2510</v>
      </c>
      <c r="E14" s="1053"/>
      <c r="F14" s="5">
        <f>+E12+E13</f>
        <v>33493.39</v>
      </c>
      <c r="G14" s="1054" t="s">
        <v>2547</v>
      </c>
    </row>
    <row r="15" spans="2:7" x14ac:dyDescent="0.2">
      <c r="B15" s="1052">
        <f>+'00 - Cover'!$F$17</f>
        <v>45590</v>
      </c>
      <c r="C15">
        <v>601100</v>
      </c>
      <c r="D15" s="4" t="str">
        <f t="shared" si="0"/>
        <v>IPD 2510</v>
      </c>
      <c r="E15" s="1053">
        <f>+'12 - Notes Interest'!I17</f>
        <v>404905.4</v>
      </c>
      <c r="F15" s="5"/>
      <c r="G15" s="1054" t="s">
        <v>2547</v>
      </c>
    </row>
    <row r="16" spans="2:7" x14ac:dyDescent="0.2">
      <c r="B16" s="1052">
        <f>+'00 - Cover'!$F$17</f>
        <v>45590</v>
      </c>
      <c r="C16">
        <v>512200</v>
      </c>
      <c r="D16" s="4" t="str">
        <f t="shared" si="0"/>
        <v>IPD 2510</v>
      </c>
      <c r="E16" s="1053"/>
      <c r="F16" s="5">
        <f>+E15</f>
        <v>404905.4</v>
      </c>
      <c r="G16" s="1054" t="s">
        <v>2547</v>
      </c>
    </row>
    <row r="17" spans="2:7" x14ac:dyDescent="0.2">
      <c r="B17" s="1052">
        <f>+'00 - Cover'!$F$17</f>
        <v>45590</v>
      </c>
      <c r="C17">
        <v>450000</v>
      </c>
      <c r="D17" s="4" t="str">
        <f t="shared" si="0"/>
        <v>IPD 2510</v>
      </c>
      <c r="E17" s="1053">
        <f>+ROUND(('13 - Issuer Account'!H59-'13 - Issuer Account'!H56-'13 - Issuer Account'!H55),2)</f>
        <v>247194.83</v>
      </c>
      <c r="F17" s="5"/>
      <c r="G17" s="1054" t="s">
        <v>2547</v>
      </c>
    </row>
    <row r="18" spans="2:7" x14ac:dyDescent="0.2">
      <c r="B18" s="1052">
        <f>+'00 - Cover'!$F$17</f>
        <v>45590</v>
      </c>
      <c r="C18">
        <v>601300</v>
      </c>
      <c r="D18" s="4" t="str">
        <f t="shared" si="0"/>
        <v>IPD 2510</v>
      </c>
      <c r="E18" s="1053">
        <f>+ROUND('15 - Priority of Payments'!I56,2)</f>
        <v>2244560.29</v>
      </c>
      <c r="F18" s="5"/>
      <c r="G18" s="1054" t="s">
        <v>2547</v>
      </c>
    </row>
    <row r="19" spans="2:7" ht="13.5" thickBot="1" x14ac:dyDescent="0.25">
      <c r="B19" s="1052">
        <f>+'00 - Cover'!$F$17</f>
        <v>45590</v>
      </c>
      <c r="C19">
        <v>512200</v>
      </c>
      <c r="D19" s="1057" t="str">
        <f t="shared" si="0"/>
        <v>IPD 2510</v>
      </c>
      <c r="E19" s="1053"/>
      <c r="F19" s="5">
        <f>+E18+E17</f>
        <v>2491755.12</v>
      </c>
      <c r="G19" s="1054" t="s">
        <v>2547</v>
      </c>
    </row>
    <row r="20" spans="2:7" x14ac:dyDescent="0.2">
      <c r="B20" s="1046">
        <f>+'00 - Cover'!$F$17</f>
        <v>45590</v>
      </c>
      <c r="C20" s="1047">
        <v>580000</v>
      </c>
      <c r="D20" s="1048" t="str">
        <f>"IPD "&amp;DAY(B20)&amp;MONTH(B20)</f>
        <v>IPD 2510</v>
      </c>
      <c r="E20" s="1049"/>
      <c r="F20" s="1050">
        <f>+E27</f>
        <v>18354315.370000001</v>
      </c>
      <c r="G20" s="1051" t="s">
        <v>2548</v>
      </c>
    </row>
    <row r="21" spans="2:7" x14ac:dyDescent="0.2">
      <c r="B21" s="1052">
        <f>+'00 - Cover'!$F$17</f>
        <v>45590</v>
      </c>
      <c r="C21">
        <v>512300</v>
      </c>
      <c r="D21" s="4" t="str">
        <f t="shared" ref="D21:D30" si="1">"IPD "&amp;DAY(B21)&amp;MONTH(B21)</f>
        <v>IPD 2510</v>
      </c>
      <c r="E21" s="1053">
        <f>+F20</f>
        <v>18354315.370000001</v>
      </c>
      <c r="F21" s="5"/>
      <c r="G21" s="1054" t="s">
        <v>2548</v>
      </c>
    </row>
    <row r="22" spans="2:7" x14ac:dyDescent="0.2">
      <c r="B22" s="1052">
        <f>+'00 - Cover'!$F$17</f>
        <v>45590</v>
      </c>
      <c r="C22">
        <v>161100</v>
      </c>
      <c r="D22" s="4" t="str">
        <f t="shared" si="1"/>
        <v>IPD 2510</v>
      </c>
      <c r="E22" s="1053">
        <f>+ROUND('13 - Issuer Account'!H35,2)</f>
        <v>18354315.370000001</v>
      </c>
      <c r="F22" s="5"/>
      <c r="G22" s="1054" t="s">
        <v>2548</v>
      </c>
    </row>
    <row r="23" spans="2:7" ht="13.5" thickBot="1" x14ac:dyDescent="0.25">
      <c r="B23" s="1055">
        <f>+'00 - Cover'!$F$17</f>
        <v>45590</v>
      </c>
      <c r="C23" s="1056">
        <v>512300</v>
      </c>
      <c r="D23" s="1057" t="str">
        <f t="shared" si="1"/>
        <v>IPD 2510</v>
      </c>
      <c r="E23" s="1058"/>
      <c r="F23" s="1059">
        <f>+E22</f>
        <v>18354315.370000001</v>
      </c>
      <c r="G23" s="1060" t="s">
        <v>2548</v>
      </c>
    </row>
    <row r="24" spans="2:7" x14ac:dyDescent="0.2">
      <c r="B24" s="1052">
        <f>+'00 - Cover'!$F$17</f>
        <v>45590</v>
      </c>
      <c r="C24">
        <v>580000</v>
      </c>
      <c r="D24" s="1048" t="str">
        <f>"IPD "&amp;DAY(B24)&amp;MONTH(B24)</f>
        <v>IPD 2510</v>
      </c>
      <c r="E24" s="1053"/>
      <c r="F24" s="5">
        <f>+ROUND('13 - Issuer Account'!M17,2)</f>
        <v>69180.350000000006</v>
      </c>
      <c r="G24" s="1054" t="s">
        <v>2545</v>
      </c>
    </row>
    <row r="25" spans="2:7" x14ac:dyDescent="0.2">
      <c r="B25" s="1052">
        <f>+'00 - Cover'!$F$17</f>
        <v>45590</v>
      </c>
      <c r="C25">
        <v>580000</v>
      </c>
      <c r="D25" s="4" t="str">
        <f t="shared" si="1"/>
        <v>IPD 2510</v>
      </c>
      <c r="E25" s="1053"/>
      <c r="F25" s="5">
        <f>+ROUND('13 - Issuer Account'!H56,2)</f>
        <v>9507056.7200000007</v>
      </c>
      <c r="G25" s="1054" t="s">
        <v>2545</v>
      </c>
    </row>
    <row r="26" spans="2:7" x14ac:dyDescent="0.2">
      <c r="B26" s="1052">
        <f>+'00 - Cover'!$F$17</f>
        <v>45590</v>
      </c>
      <c r="C26">
        <v>512000</v>
      </c>
      <c r="D26" s="4" t="str">
        <f t="shared" si="1"/>
        <v>IPD 2510</v>
      </c>
      <c r="E26" s="1053">
        <f>+F24+F25</f>
        <v>9576237.0700000003</v>
      </c>
      <c r="F26" s="5"/>
      <c r="G26" s="1054" t="s">
        <v>2545</v>
      </c>
    </row>
    <row r="27" spans="2:7" x14ac:dyDescent="0.2">
      <c r="B27" s="1052">
        <f>+'00 - Cover'!$F$17</f>
        <v>45590</v>
      </c>
      <c r="C27">
        <v>580000</v>
      </c>
      <c r="D27" s="4" t="str">
        <f t="shared" si="1"/>
        <v>IPD 2510</v>
      </c>
      <c r="E27" s="1053">
        <f>+ROUND('13 - Issuer Account'!H24,2)</f>
        <v>18354315.370000001</v>
      </c>
      <c r="F27" s="5"/>
      <c r="G27" s="1054" t="s">
        <v>2545</v>
      </c>
    </row>
    <row r="28" spans="2:7" x14ac:dyDescent="0.2">
      <c r="B28" s="1052">
        <f>+'00 - Cover'!$F$17</f>
        <v>45590</v>
      </c>
      <c r="C28">
        <v>512000</v>
      </c>
      <c r="D28" s="4" t="str">
        <f t="shared" si="1"/>
        <v>IPD 2510</v>
      </c>
      <c r="E28" s="1053"/>
      <c r="F28" s="5">
        <f>+E27</f>
        <v>18354315.370000001</v>
      </c>
      <c r="G28" s="1054" t="s">
        <v>2545</v>
      </c>
    </row>
    <row r="29" spans="2:7" x14ac:dyDescent="0.2">
      <c r="B29" s="1052">
        <f>+'00 - Cover'!$F$17</f>
        <v>45590</v>
      </c>
      <c r="C29">
        <v>580000</v>
      </c>
      <c r="D29" s="4" t="str">
        <f t="shared" si="1"/>
        <v>IPD 2510</v>
      </c>
      <c r="E29" s="1053">
        <f>+ROUND('13 - Issuer Account'!H25,2)</f>
        <v>12440426.08</v>
      </c>
      <c r="F29" s="5"/>
      <c r="G29" s="1054" t="s">
        <v>2545</v>
      </c>
    </row>
    <row r="30" spans="2:7" x14ac:dyDescent="0.2">
      <c r="B30" s="1052">
        <f>+'00 - Cover'!$F$17</f>
        <v>45590</v>
      </c>
      <c r="C30">
        <v>512000</v>
      </c>
      <c r="D30" s="4" t="str">
        <f t="shared" si="1"/>
        <v>IPD 2510</v>
      </c>
      <c r="E30" s="1053"/>
      <c r="F30" s="5">
        <f>+E29</f>
        <v>12440426.08</v>
      </c>
      <c r="G30" s="1054" t="s">
        <v>2545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6355-EB9C-4474-A981-6328FF5CCCDE}">
  <dimension ref="A1:CN485"/>
  <sheetViews>
    <sheetView showGridLines="0" topLeftCell="CA1" zoomScale="80" zoomScaleNormal="80" workbookViewId="0">
      <selection activeCell="CL4" sqref="CL4:CN397"/>
    </sheetView>
  </sheetViews>
  <sheetFormatPr defaultRowHeight="12.75" x14ac:dyDescent="0.2"/>
  <cols>
    <col min="1" max="1" width="16.5703125" style="215" customWidth="1"/>
    <col min="2" max="3" width="16.5703125" customWidth="1"/>
    <col min="4" max="64" width="16.5703125" style="5" customWidth="1"/>
    <col min="65" max="65" width="16.5703125" style="215" customWidth="1"/>
    <col min="66" max="73" width="16.5703125" style="5" customWidth="1"/>
    <col min="74" max="75" width="16.5703125" style="215" customWidth="1"/>
    <col min="76" max="77" width="16.5703125" customWidth="1"/>
    <col min="78" max="78" width="32" bestFit="1" customWidth="1"/>
    <col min="79" max="79" width="32" customWidth="1"/>
    <col min="80" max="86" width="16.5703125" style="5" customWidth="1"/>
    <col min="87" max="87" width="16.5703125" style="719" customWidth="1"/>
    <col min="88" max="88" width="16.5703125" style="5" customWidth="1"/>
    <col min="89" max="89" width="44.85546875" bestFit="1" customWidth="1"/>
    <col min="90" max="90" width="16.5703125" customWidth="1"/>
    <col min="92" max="92" width="15.140625" bestFit="1" customWidth="1"/>
  </cols>
  <sheetData>
    <row r="1" spans="1:92" s="708" customFormat="1" ht="39" customHeight="1" thickBot="1" x14ac:dyDescent="0.25">
      <c r="A1" s="1243" t="s">
        <v>833</v>
      </c>
      <c r="B1" s="1244"/>
      <c r="C1" s="1244"/>
      <c r="D1" s="1244"/>
      <c r="E1" s="1244"/>
      <c r="F1" s="1244"/>
      <c r="G1" s="1244"/>
      <c r="H1" s="1244"/>
      <c r="I1" s="1244"/>
      <c r="J1" s="1244"/>
      <c r="K1" s="1244"/>
      <c r="L1" s="1244"/>
      <c r="M1" s="1244"/>
      <c r="N1" s="1244"/>
      <c r="O1" s="1244"/>
      <c r="P1" s="1244"/>
      <c r="Q1" s="1243" t="s">
        <v>834</v>
      </c>
      <c r="R1" s="1244"/>
      <c r="S1" s="1244"/>
      <c r="T1" s="1244"/>
      <c r="U1" s="1244"/>
      <c r="V1" s="1244"/>
      <c r="W1" s="1244"/>
      <c r="X1" s="1244"/>
      <c r="Y1" s="1244"/>
      <c r="Z1" s="1244"/>
      <c r="AA1" s="1244"/>
      <c r="AB1" s="1244"/>
      <c r="AC1" s="1244"/>
      <c r="AD1" s="1244"/>
      <c r="AE1" s="1244"/>
      <c r="AF1" s="1244"/>
      <c r="AG1" s="1244"/>
      <c r="AH1" s="1244"/>
      <c r="AI1" s="1244"/>
      <c r="AJ1" s="1244"/>
      <c r="AK1" s="1244"/>
      <c r="AL1" s="1244"/>
      <c r="AM1" s="1244"/>
      <c r="AN1" s="1244"/>
      <c r="AO1" s="1244"/>
      <c r="AP1" s="1244"/>
      <c r="AQ1" s="1244"/>
      <c r="AR1" s="1244"/>
      <c r="AS1" s="1244"/>
      <c r="AT1" s="1272"/>
      <c r="AU1" s="1243" t="s">
        <v>203</v>
      </c>
      <c r="AV1" s="1244"/>
      <c r="AW1" s="1244"/>
      <c r="AX1" s="1244"/>
      <c r="AY1" s="1244"/>
      <c r="AZ1" s="1244"/>
      <c r="BA1" s="1244"/>
      <c r="BB1" s="1244"/>
      <c r="BC1" s="1244"/>
      <c r="BD1" s="1244"/>
      <c r="BE1" s="1244"/>
      <c r="BF1" s="1244"/>
      <c r="BG1" s="1244"/>
      <c r="BH1" s="1244"/>
      <c r="BI1" s="1244"/>
      <c r="BJ1" s="1244"/>
      <c r="BK1" s="1244"/>
      <c r="BL1" s="1244"/>
      <c r="BM1" s="1245" t="s">
        <v>835</v>
      </c>
      <c r="BN1" s="1246"/>
      <c r="BO1" s="1246"/>
      <c r="BP1" s="1247"/>
      <c r="BQ1" s="718" t="s">
        <v>836</v>
      </c>
      <c r="BR1" s="706"/>
      <c r="BS1" s="993"/>
      <c r="BT1" s="706"/>
      <c r="BU1" s="993"/>
      <c r="BV1" s="706"/>
      <c r="BW1" s="993"/>
      <c r="BX1" s="706"/>
      <c r="BY1" s="993"/>
      <c r="BZ1" s="706"/>
      <c r="CA1" s="993"/>
      <c r="CB1" s="707"/>
      <c r="CC1" s="915"/>
      <c r="CD1" s="915"/>
      <c r="CE1" s="915"/>
      <c r="CF1" s="915"/>
      <c r="CG1" s="915"/>
      <c r="CH1" s="915"/>
      <c r="CI1" s="1256" t="s">
        <v>837</v>
      </c>
      <c r="CJ1" s="1257"/>
      <c r="CK1" s="1257"/>
      <c r="CL1" s="1257"/>
      <c r="CM1" s="1257"/>
      <c r="CN1" s="1258"/>
    </row>
    <row r="2" spans="1:92" s="708" customFormat="1" ht="77.25" customHeight="1" x14ac:dyDescent="0.2">
      <c r="A2" s="1259" t="s">
        <v>838</v>
      </c>
      <c r="B2" s="1269" t="s">
        <v>897</v>
      </c>
      <c r="C2" s="1261" t="s">
        <v>839</v>
      </c>
      <c r="D2" s="1263" t="s">
        <v>840</v>
      </c>
      <c r="E2" s="1265" t="s">
        <v>898</v>
      </c>
      <c r="F2" s="1267" t="s">
        <v>136</v>
      </c>
      <c r="G2" s="1267" t="s">
        <v>137</v>
      </c>
      <c r="H2" s="1273" t="s">
        <v>841</v>
      </c>
      <c r="I2" s="1274"/>
      <c r="J2" s="1275"/>
      <c r="K2" s="1267" t="s">
        <v>138</v>
      </c>
      <c r="L2" s="1267" t="s">
        <v>842</v>
      </c>
      <c r="M2" s="1267" t="s">
        <v>843</v>
      </c>
      <c r="N2" s="1271" t="s">
        <v>901</v>
      </c>
      <c r="O2" s="1271" t="s">
        <v>903</v>
      </c>
      <c r="P2" s="1277" t="s">
        <v>844</v>
      </c>
      <c r="Q2" s="1279" t="s">
        <v>845</v>
      </c>
      <c r="R2" s="1280"/>
      <c r="S2" s="1281"/>
      <c r="T2" s="1276" t="s">
        <v>202</v>
      </c>
      <c r="U2" s="1276"/>
      <c r="V2" s="1276"/>
      <c r="W2" s="1276" t="s">
        <v>846</v>
      </c>
      <c r="X2" s="1276"/>
      <c r="Y2" s="1276"/>
      <c r="Z2" s="1276" t="s">
        <v>847</v>
      </c>
      <c r="AA2" s="1276"/>
      <c r="AB2" s="1276"/>
      <c r="AC2" s="1276" t="s">
        <v>848</v>
      </c>
      <c r="AD2" s="1276"/>
      <c r="AE2" s="1276"/>
      <c r="AF2" s="1276" t="s">
        <v>851</v>
      </c>
      <c r="AG2" s="1276"/>
      <c r="AH2" s="1276"/>
      <c r="AI2" s="1276" t="s">
        <v>852</v>
      </c>
      <c r="AJ2" s="1276"/>
      <c r="AK2" s="1276"/>
      <c r="AL2" s="1276" t="s">
        <v>849</v>
      </c>
      <c r="AM2" s="1276"/>
      <c r="AN2" s="1276"/>
      <c r="AO2" s="1276" t="s">
        <v>850</v>
      </c>
      <c r="AP2" s="1276"/>
      <c r="AQ2" s="1276"/>
      <c r="AR2" s="1276" t="s">
        <v>853</v>
      </c>
      <c r="AS2" s="1276"/>
      <c r="AT2" s="1252"/>
      <c r="AU2" s="1248" t="s">
        <v>139</v>
      </c>
      <c r="AV2" s="1248" t="s">
        <v>140</v>
      </c>
      <c r="AW2" s="1248" t="s">
        <v>141</v>
      </c>
      <c r="AX2" s="1248" t="s">
        <v>142</v>
      </c>
      <c r="AY2" s="1248" t="s">
        <v>143</v>
      </c>
      <c r="AZ2" s="1248" t="s">
        <v>144</v>
      </c>
      <c r="BA2" s="1248" t="s">
        <v>904</v>
      </c>
      <c r="BB2" s="1248" t="s">
        <v>905</v>
      </c>
      <c r="BC2" s="1248" t="s">
        <v>906</v>
      </c>
      <c r="BD2" s="1248" t="s">
        <v>145</v>
      </c>
      <c r="BE2" s="1248" t="s">
        <v>147</v>
      </c>
      <c r="BF2" s="1248" t="s">
        <v>146</v>
      </c>
      <c r="BG2" s="1248" t="s">
        <v>148</v>
      </c>
      <c r="BH2" s="1248" t="s">
        <v>854</v>
      </c>
      <c r="BI2" s="1248" t="s">
        <v>239</v>
      </c>
      <c r="BJ2" s="1248" t="s">
        <v>855</v>
      </c>
      <c r="BK2" s="1248" t="s">
        <v>149</v>
      </c>
      <c r="BL2" s="1248" t="s">
        <v>150</v>
      </c>
      <c r="BM2" s="1248" t="s">
        <v>856</v>
      </c>
      <c r="BN2" s="1248" t="s">
        <v>857</v>
      </c>
      <c r="BO2" s="1248" t="s">
        <v>858</v>
      </c>
      <c r="BP2" s="1252" t="s">
        <v>859</v>
      </c>
      <c r="BQ2" s="1254" t="s">
        <v>838</v>
      </c>
      <c r="BR2" s="1250" t="s">
        <v>2509</v>
      </c>
      <c r="BS2" s="1250" t="s">
        <v>2510</v>
      </c>
      <c r="BT2" s="1250" t="s">
        <v>2511</v>
      </c>
      <c r="BU2" s="1250" t="s">
        <v>2512</v>
      </c>
      <c r="BV2" s="1250" t="s">
        <v>2513</v>
      </c>
      <c r="BW2" s="1250" t="s">
        <v>2514</v>
      </c>
      <c r="BX2" s="1250" t="s">
        <v>2515</v>
      </c>
      <c r="BY2" s="1250" t="s">
        <v>2516</v>
      </c>
      <c r="BZ2" s="1250" t="s">
        <v>2517</v>
      </c>
      <c r="CA2" s="1250" t="s">
        <v>2518</v>
      </c>
      <c r="CB2" s="1250" t="s">
        <v>2519</v>
      </c>
      <c r="CC2" s="1284" t="s">
        <v>2520</v>
      </c>
      <c r="CD2" s="1290" t="s">
        <v>1506</v>
      </c>
      <c r="CE2" s="1290" t="s">
        <v>1509</v>
      </c>
      <c r="CF2" s="1290" t="s">
        <v>1510</v>
      </c>
      <c r="CG2" s="1290" t="s">
        <v>1507</v>
      </c>
      <c r="CH2" s="1290" t="s">
        <v>1508</v>
      </c>
      <c r="CI2" s="1259" t="s">
        <v>838</v>
      </c>
      <c r="CJ2" s="1288" t="s">
        <v>860</v>
      </c>
      <c r="CK2" s="1288" t="s">
        <v>861</v>
      </c>
      <c r="CL2" s="1248" t="s">
        <v>862</v>
      </c>
      <c r="CM2" s="1282" t="s">
        <v>863</v>
      </c>
      <c r="CN2" s="1286" t="s">
        <v>864</v>
      </c>
    </row>
    <row r="3" spans="1:92" s="708" customFormat="1" ht="100.5" customHeight="1" thickBot="1" x14ac:dyDescent="0.25">
      <c r="A3" s="1260"/>
      <c r="B3" s="1270"/>
      <c r="C3" s="1262"/>
      <c r="D3" s="1264"/>
      <c r="E3" s="1266"/>
      <c r="F3" s="1268"/>
      <c r="G3" s="1268"/>
      <c r="H3" s="709" t="s">
        <v>865</v>
      </c>
      <c r="I3" s="709" t="s">
        <v>866</v>
      </c>
      <c r="J3" s="709" t="s">
        <v>867</v>
      </c>
      <c r="K3" s="1268"/>
      <c r="L3" s="1268"/>
      <c r="M3" s="1268"/>
      <c r="N3" s="1268"/>
      <c r="O3" s="1268"/>
      <c r="P3" s="1278"/>
      <c r="Q3" s="710" t="s">
        <v>205</v>
      </c>
      <c r="R3" s="711" t="s">
        <v>206</v>
      </c>
      <c r="S3" s="711" t="s">
        <v>207</v>
      </c>
      <c r="T3" s="711" t="s">
        <v>205</v>
      </c>
      <c r="U3" s="711" t="s">
        <v>206</v>
      </c>
      <c r="V3" s="711" t="s">
        <v>207</v>
      </c>
      <c r="W3" s="711" t="s">
        <v>205</v>
      </c>
      <c r="X3" s="711" t="s">
        <v>206</v>
      </c>
      <c r="Y3" s="711" t="s">
        <v>207</v>
      </c>
      <c r="Z3" s="711" t="s">
        <v>205</v>
      </c>
      <c r="AA3" s="711" t="s">
        <v>206</v>
      </c>
      <c r="AB3" s="711" t="s">
        <v>207</v>
      </c>
      <c r="AC3" s="711" t="s">
        <v>205</v>
      </c>
      <c r="AD3" s="711" t="s">
        <v>206</v>
      </c>
      <c r="AE3" s="711" t="s">
        <v>207</v>
      </c>
      <c r="AF3" s="711" t="s">
        <v>205</v>
      </c>
      <c r="AG3" s="711" t="s">
        <v>206</v>
      </c>
      <c r="AH3" s="711" t="s">
        <v>207</v>
      </c>
      <c r="AI3" s="711" t="s">
        <v>205</v>
      </c>
      <c r="AJ3" s="711" t="s">
        <v>206</v>
      </c>
      <c r="AK3" s="711" t="s">
        <v>207</v>
      </c>
      <c r="AL3" s="711" t="s">
        <v>205</v>
      </c>
      <c r="AM3" s="711" t="s">
        <v>206</v>
      </c>
      <c r="AN3" s="711" t="s">
        <v>207</v>
      </c>
      <c r="AO3" s="711" t="s">
        <v>205</v>
      </c>
      <c r="AP3" s="711" t="s">
        <v>206</v>
      </c>
      <c r="AQ3" s="711" t="s">
        <v>207</v>
      </c>
      <c r="AR3" s="711" t="s">
        <v>205</v>
      </c>
      <c r="AS3" s="711" t="s">
        <v>206</v>
      </c>
      <c r="AT3" s="712" t="s">
        <v>207</v>
      </c>
      <c r="AU3" s="1249"/>
      <c r="AV3" s="1249"/>
      <c r="AW3" s="1249"/>
      <c r="AX3" s="1249"/>
      <c r="AY3" s="1249"/>
      <c r="AZ3" s="1249"/>
      <c r="BA3" s="1249"/>
      <c r="BB3" s="1249"/>
      <c r="BC3" s="1249"/>
      <c r="BD3" s="1249"/>
      <c r="BE3" s="1249"/>
      <c r="BF3" s="1249"/>
      <c r="BG3" s="1249"/>
      <c r="BH3" s="1249"/>
      <c r="BI3" s="1249"/>
      <c r="BJ3" s="1249"/>
      <c r="BK3" s="1249"/>
      <c r="BL3" s="1249"/>
      <c r="BM3" s="1249"/>
      <c r="BN3" s="1249"/>
      <c r="BO3" s="1249"/>
      <c r="BP3" s="1253"/>
      <c r="BQ3" s="1255"/>
      <c r="BR3" s="1251"/>
      <c r="BS3" s="1251"/>
      <c r="BT3" s="1251"/>
      <c r="BU3" s="1251"/>
      <c r="BV3" s="1251"/>
      <c r="BW3" s="1251"/>
      <c r="BX3" s="1251"/>
      <c r="BY3" s="1251"/>
      <c r="BZ3" s="1251"/>
      <c r="CA3" s="1251"/>
      <c r="CB3" s="1251"/>
      <c r="CC3" s="1285"/>
      <c r="CD3" s="1291"/>
      <c r="CE3" s="1291"/>
      <c r="CF3" s="1291"/>
      <c r="CG3" s="1291"/>
      <c r="CH3" s="1291"/>
      <c r="CI3" s="1260"/>
      <c r="CJ3" s="1289"/>
      <c r="CK3" s="1289"/>
      <c r="CL3" s="1249"/>
      <c r="CM3" s="1283"/>
      <c r="CN3" s="1287"/>
    </row>
    <row r="4" spans="1:92" x14ac:dyDescent="0.2">
      <c r="A4" s="215">
        <v>45565</v>
      </c>
      <c r="B4" t="s">
        <v>899</v>
      </c>
      <c r="C4" t="s">
        <v>868</v>
      </c>
      <c r="D4" s="714">
        <v>688594142.69999981</v>
      </c>
      <c r="E4" s="714">
        <v>0</v>
      </c>
      <c r="F4" s="714">
        <v>4821644.0899999896</v>
      </c>
      <c r="G4" s="714">
        <v>806173.41</v>
      </c>
      <c r="H4" s="714">
        <v>0</v>
      </c>
      <c r="I4" s="714">
        <v>250.78000000000003</v>
      </c>
      <c r="J4" s="714">
        <v>0</v>
      </c>
      <c r="K4" s="714">
        <v>0</v>
      </c>
      <c r="L4" s="714">
        <v>0</v>
      </c>
      <c r="M4" s="714">
        <v>0</v>
      </c>
      <c r="N4" s="714">
        <v>0</v>
      </c>
      <c r="O4" s="714">
        <v>0</v>
      </c>
      <c r="P4" s="714">
        <v>682966575.97999787</v>
      </c>
      <c r="Q4" s="714">
        <v>65309.620000000024</v>
      </c>
      <c r="R4" s="714">
        <v>3102.21</v>
      </c>
      <c r="S4" s="714">
        <v>0</v>
      </c>
      <c r="T4" s="714">
        <v>58910.87</v>
      </c>
      <c r="U4" s="714">
        <v>4311.2500000000009</v>
      </c>
      <c r="V4" s="714">
        <v>0</v>
      </c>
      <c r="W4" s="714">
        <v>52388.180000000015</v>
      </c>
      <c r="X4" s="714">
        <v>2606.0200000000004</v>
      </c>
      <c r="Y4" s="714">
        <v>0</v>
      </c>
      <c r="Z4" s="714">
        <v>0</v>
      </c>
      <c r="AA4" s="714">
        <v>0</v>
      </c>
      <c r="AB4" s="714">
        <v>0</v>
      </c>
      <c r="AC4" s="714">
        <v>0</v>
      </c>
      <c r="AD4" s="714">
        <v>0</v>
      </c>
      <c r="AE4" s="714">
        <v>0</v>
      </c>
      <c r="AF4" s="714">
        <v>3515.46</v>
      </c>
      <c r="AG4" s="714">
        <v>42.78</v>
      </c>
      <c r="AH4" s="714">
        <v>0</v>
      </c>
      <c r="AI4" s="714">
        <v>0</v>
      </c>
      <c r="AJ4" s="714">
        <v>0</v>
      </c>
      <c r="AK4" s="714">
        <v>0</v>
      </c>
      <c r="AL4" s="714">
        <v>0</v>
      </c>
      <c r="AM4" s="714">
        <v>0</v>
      </c>
      <c r="AN4" s="714">
        <v>0</v>
      </c>
      <c r="AO4" s="714">
        <v>0</v>
      </c>
      <c r="AP4" s="714">
        <v>0</v>
      </c>
      <c r="AQ4" s="714">
        <v>0</v>
      </c>
      <c r="AR4" s="714">
        <v>68316.850000000006</v>
      </c>
      <c r="AS4" s="714">
        <v>4764.66</v>
      </c>
      <c r="AT4" s="714">
        <v>0</v>
      </c>
      <c r="AU4" s="714">
        <v>4762733.2199999914</v>
      </c>
      <c r="AV4" s="714">
        <v>52388.180000000015</v>
      </c>
      <c r="AW4" s="714">
        <v>806173.41</v>
      </c>
      <c r="AX4" s="714">
        <v>5621294.8099999875</v>
      </c>
      <c r="AY4" s="714">
        <v>817489.45999999822</v>
      </c>
      <c r="AZ4" s="714">
        <v>2606.0200000000004</v>
      </c>
      <c r="BA4" s="714">
        <v>119.48</v>
      </c>
      <c r="BB4" s="714">
        <v>124.23000000000002</v>
      </c>
      <c r="BC4" s="714">
        <v>0</v>
      </c>
      <c r="BD4" s="714">
        <v>2669.09</v>
      </c>
      <c r="BE4" s="714">
        <v>33.29</v>
      </c>
      <c r="BF4" s="714">
        <v>0</v>
      </c>
      <c r="BG4" s="714">
        <v>823041.56999999809</v>
      </c>
      <c r="BH4" s="714">
        <v>0</v>
      </c>
      <c r="BI4" s="714">
        <v>0</v>
      </c>
      <c r="BJ4" s="714">
        <v>0</v>
      </c>
      <c r="BK4" s="714">
        <v>6444336.3800000008</v>
      </c>
      <c r="BL4" s="714">
        <v>6444336.3800000008</v>
      </c>
      <c r="BM4" s="714">
        <v>0</v>
      </c>
      <c r="BN4" s="714">
        <v>402267.31000000058</v>
      </c>
      <c r="BO4" s="714">
        <v>0</v>
      </c>
      <c r="BP4" s="714">
        <v>0</v>
      </c>
      <c r="BQ4" s="713">
        <v>45565</v>
      </c>
      <c r="BR4" s="715">
        <v>679782033.38999784</v>
      </c>
      <c r="BS4" s="715">
        <v>3635</v>
      </c>
      <c r="BT4" s="715">
        <v>2576919.5900000003</v>
      </c>
      <c r="BU4" s="715">
        <v>16</v>
      </c>
      <c r="BV4" s="715">
        <v>607623</v>
      </c>
      <c r="BW4" s="715">
        <v>9</v>
      </c>
      <c r="BX4" s="715">
        <v>0</v>
      </c>
      <c r="BY4" s="715">
        <v>0</v>
      </c>
      <c r="BZ4" s="715">
        <v>3515.46</v>
      </c>
      <c r="CA4" s="715">
        <v>1</v>
      </c>
      <c r="CB4" s="715">
        <v>0</v>
      </c>
      <c r="CC4" s="715">
        <v>0</v>
      </c>
      <c r="CD4" s="715">
        <v>0</v>
      </c>
      <c r="CE4" s="715">
        <v>0</v>
      </c>
      <c r="CF4" s="715">
        <v>3718449.59</v>
      </c>
      <c r="CG4" s="715">
        <v>0</v>
      </c>
      <c r="CH4" s="715">
        <v>0</v>
      </c>
      <c r="CI4" s="713">
        <v>45565</v>
      </c>
      <c r="CJ4" s="716" t="s">
        <v>256</v>
      </c>
      <c r="CK4" s="716" t="s">
        <v>257</v>
      </c>
      <c r="CL4" s="715">
        <v>682966575.97999787</v>
      </c>
      <c r="CM4" s="719"/>
      <c r="CN4" s="5"/>
    </row>
    <row r="5" spans="1:92" x14ac:dyDescent="0.2">
      <c r="A5" s="215">
        <v>45565</v>
      </c>
      <c r="B5" t="s">
        <v>899</v>
      </c>
      <c r="C5" t="s">
        <v>869</v>
      </c>
      <c r="D5" s="714">
        <v>0</v>
      </c>
      <c r="E5" s="714">
        <v>0</v>
      </c>
      <c r="F5" s="714">
        <v>0</v>
      </c>
      <c r="G5" s="714">
        <v>0</v>
      </c>
      <c r="H5" s="714">
        <v>0</v>
      </c>
      <c r="I5" s="714">
        <v>0</v>
      </c>
      <c r="J5" s="714">
        <v>0</v>
      </c>
      <c r="K5" s="714">
        <v>0</v>
      </c>
      <c r="L5" s="714">
        <v>0</v>
      </c>
      <c r="M5" s="714">
        <v>0</v>
      </c>
      <c r="N5" s="714">
        <v>0</v>
      </c>
      <c r="O5" s="714">
        <v>0</v>
      </c>
      <c r="P5" s="714">
        <v>0</v>
      </c>
      <c r="Q5" s="714">
        <v>3272.83</v>
      </c>
      <c r="R5" s="714">
        <v>0</v>
      </c>
      <c r="S5" s="714">
        <v>0</v>
      </c>
      <c r="T5" s="714">
        <v>0</v>
      </c>
      <c r="U5" s="714">
        <v>0</v>
      </c>
      <c r="V5" s="714">
        <v>0</v>
      </c>
      <c r="W5" s="714">
        <v>3272.83</v>
      </c>
      <c r="X5" s="714">
        <v>0</v>
      </c>
      <c r="Y5" s="714">
        <v>0</v>
      </c>
      <c r="Z5" s="714">
        <v>0</v>
      </c>
      <c r="AA5" s="714">
        <v>0</v>
      </c>
      <c r="AB5" s="714">
        <v>0</v>
      </c>
      <c r="AC5" s="714">
        <v>0</v>
      </c>
      <c r="AD5" s="714">
        <v>0</v>
      </c>
      <c r="AE5" s="714">
        <v>0</v>
      </c>
      <c r="AF5" s="714">
        <v>3515.46</v>
      </c>
      <c r="AG5" s="714">
        <v>42.78</v>
      </c>
      <c r="AH5" s="714">
        <v>0</v>
      </c>
      <c r="AI5" s="714">
        <v>0</v>
      </c>
      <c r="AJ5" s="714">
        <v>0</v>
      </c>
      <c r="AK5" s="714">
        <v>0</v>
      </c>
      <c r="AL5" s="714">
        <v>0</v>
      </c>
      <c r="AM5" s="714">
        <v>0</v>
      </c>
      <c r="AN5" s="714">
        <v>0</v>
      </c>
      <c r="AO5" s="714">
        <v>0</v>
      </c>
      <c r="AP5" s="714">
        <v>0</v>
      </c>
      <c r="AQ5" s="714">
        <v>0</v>
      </c>
      <c r="AR5" s="714">
        <v>3515.46</v>
      </c>
      <c r="AS5" s="714">
        <v>42.78</v>
      </c>
      <c r="AT5" s="714">
        <v>0</v>
      </c>
      <c r="AU5" s="714">
        <v>0</v>
      </c>
      <c r="AV5" s="714">
        <v>3272.83</v>
      </c>
      <c r="AW5" s="714">
        <v>0</v>
      </c>
      <c r="AX5" s="714">
        <v>3272.83</v>
      </c>
      <c r="AY5" s="714">
        <v>0</v>
      </c>
      <c r="AZ5" s="714">
        <v>0</v>
      </c>
      <c r="BA5" s="714">
        <v>14.7</v>
      </c>
      <c r="BB5" s="714">
        <v>39.54</v>
      </c>
      <c r="BC5" s="714">
        <v>0</v>
      </c>
      <c r="BD5" s="714">
        <v>0</v>
      </c>
      <c r="BE5" s="714">
        <v>0</v>
      </c>
      <c r="BF5" s="714">
        <v>0</v>
      </c>
      <c r="BG5" s="714">
        <v>54.239999999999995</v>
      </c>
      <c r="BH5" s="714">
        <v>0</v>
      </c>
      <c r="BI5" s="714">
        <v>0</v>
      </c>
      <c r="BJ5" s="714"/>
      <c r="BK5" s="714">
        <v>3327.0699999999997</v>
      </c>
      <c r="BL5" s="714">
        <v>3327.0699999999997</v>
      </c>
      <c r="BM5" s="714">
        <v>0</v>
      </c>
      <c r="BN5" s="714">
        <v>0</v>
      </c>
      <c r="BO5" s="714">
        <v>0</v>
      </c>
      <c r="BP5" s="714">
        <v>0</v>
      </c>
      <c r="BQ5" s="713">
        <v>45535</v>
      </c>
      <c r="BR5" s="715">
        <v>685948666.13999975</v>
      </c>
      <c r="BS5" s="715">
        <v>3641</v>
      </c>
      <c r="BT5" s="715">
        <v>1927543.5699999998</v>
      </c>
      <c r="BU5" s="715">
        <v>11</v>
      </c>
      <c r="BV5" s="715">
        <v>716751.69</v>
      </c>
      <c r="BW5" s="715">
        <v>7</v>
      </c>
      <c r="BX5" s="715">
        <v>1181.3</v>
      </c>
      <c r="BY5" s="715">
        <v>1</v>
      </c>
      <c r="BZ5" s="715">
        <v>0</v>
      </c>
      <c r="CA5" s="715">
        <v>0</v>
      </c>
      <c r="CB5" s="715">
        <v>3272.83</v>
      </c>
      <c r="CC5" s="715">
        <v>1</v>
      </c>
      <c r="CD5" s="715">
        <v>0</v>
      </c>
      <c r="CE5" s="715">
        <v>0</v>
      </c>
      <c r="CF5" s="715">
        <v>3724886.27</v>
      </c>
      <c r="CG5" s="715">
        <v>0</v>
      </c>
      <c r="CH5" s="715">
        <v>0</v>
      </c>
      <c r="CI5" s="713">
        <v>45565</v>
      </c>
      <c r="CJ5" s="716" t="s">
        <v>258</v>
      </c>
      <c r="CK5" s="716" t="s">
        <v>259</v>
      </c>
      <c r="CL5" s="715">
        <v>1099603246.8700001</v>
      </c>
      <c r="CM5" s="719"/>
      <c r="CN5" s="5"/>
    </row>
    <row r="6" spans="1:92" x14ac:dyDescent="0.2">
      <c r="A6" s="215">
        <v>45535</v>
      </c>
      <c r="B6" t="s">
        <v>899</v>
      </c>
      <c r="C6" t="s">
        <v>868</v>
      </c>
      <c r="D6" s="5">
        <v>695433900.90000021</v>
      </c>
      <c r="E6" s="5">
        <v>0</v>
      </c>
      <c r="F6" s="5">
        <v>4836308.9699999942</v>
      </c>
      <c r="G6" s="5">
        <v>2003699.8000000003</v>
      </c>
      <c r="H6" s="5">
        <v>0</v>
      </c>
      <c r="I6" s="5">
        <v>250.57</v>
      </c>
      <c r="J6" s="5">
        <v>0</v>
      </c>
      <c r="K6" s="5">
        <v>0</v>
      </c>
      <c r="L6" s="5">
        <v>0</v>
      </c>
      <c r="M6" s="5">
        <v>0</v>
      </c>
      <c r="N6" s="5">
        <v>0</v>
      </c>
      <c r="O6" s="5">
        <v>0</v>
      </c>
      <c r="P6" s="5">
        <v>688594142.69999981</v>
      </c>
      <c r="Q6" s="5">
        <v>75125.440000000017</v>
      </c>
      <c r="R6" s="5">
        <v>10516.199999999999</v>
      </c>
      <c r="S6" s="5">
        <v>0</v>
      </c>
      <c r="T6" s="5">
        <v>50700.250000000007</v>
      </c>
      <c r="U6" s="5">
        <v>2636.61</v>
      </c>
      <c r="V6" s="5">
        <v>0</v>
      </c>
      <c r="W6" s="5">
        <v>60516.070000000022</v>
      </c>
      <c r="X6" s="5">
        <v>10050.6</v>
      </c>
      <c r="Y6" s="5">
        <v>0</v>
      </c>
      <c r="Z6" s="5">
        <v>0</v>
      </c>
      <c r="AA6" s="5">
        <v>0</v>
      </c>
      <c r="AB6" s="5">
        <v>0</v>
      </c>
      <c r="AC6" s="5">
        <v>0</v>
      </c>
      <c r="AD6" s="5">
        <v>0</v>
      </c>
      <c r="AE6" s="5">
        <v>0</v>
      </c>
      <c r="AF6" s="5">
        <v>0</v>
      </c>
      <c r="AG6" s="5">
        <v>0</v>
      </c>
      <c r="AH6" s="5">
        <v>0</v>
      </c>
      <c r="AI6" s="5">
        <v>0</v>
      </c>
      <c r="AJ6" s="5">
        <v>0</v>
      </c>
      <c r="AK6" s="5">
        <v>0</v>
      </c>
      <c r="AL6" s="5">
        <v>0</v>
      </c>
      <c r="AM6" s="5">
        <v>0</v>
      </c>
      <c r="AN6" s="5">
        <v>0</v>
      </c>
      <c r="AO6" s="5">
        <v>0</v>
      </c>
      <c r="AP6" s="5">
        <v>0</v>
      </c>
      <c r="AQ6" s="5">
        <v>0</v>
      </c>
      <c r="AR6" s="5">
        <v>65309.620000000024</v>
      </c>
      <c r="AS6" s="5">
        <v>3102.21</v>
      </c>
      <c r="AT6" s="5">
        <v>0</v>
      </c>
      <c r="AU6" s="5">
        <v>4785608.7199999951</v>
      </c>
      <c r="AV6" s="5">
        <v>60516.070000000022</v>
      </c>
      <c r="AW6" s="5">
        <v>2003699.8000000003</v>
      </c>
      <c r="AX6" s="5">
        <v>6849824.5899999999</v>
      </c>
      <c r="AY6" s="5">
        <v>827128.17999999854</v>
      </c>
      <c r="AZ6" s="5">
        <v>10050.6</v>
      </c>
      <c r="BA6" s="5">
        <v>97.660000000000025</v>
      </c>
      <c r="BB6" s="5">
        <v>103.45000000000003</v>
      </c>
      <c r="BC6" s="5">
        <v>0</v>
      </c>
      <c r="BD6" s="5">
        <v>8134.32</v>
      </c>
      <c r="BE6" s="5">
        <v>169.44</v>
      </c>
      <c r="BF6" s="5">
        <v>0</v>
      </c>
      <c r="BG6" s="5">
        <v>845683.64999999839</v>
      </c>
      <c r="BH6" s="5">
        <v>0</v>
      </c>
      <c r="BI6" s="5">
        <v>0</v>
      </c>
      <c r="BJ6" s="5">
        <v>0</v>
      </c>
      <c r="BK6" s="5">
        <v>7695508.240000003</v>
      </c>
      <c r="BL6" s="5">
        <v>7695508.2400000012</v>
      </c>
      <c r="BM6" s="5">
        <v>0</v>
      </c>
      <c r="BN6" s="5">
        <v>406617.28999999905</v>
      </c>
      <c r="BO6" s="5">
        <v>0</v>
      </c>
      <c r="BP6" s="5">
        <v>0</v>
      </c>
      <c r="BQ6" s="713">
        <v>45504</v>
      </c>
      <c r="BR6" s="715">
        <v>690082232.36000025</v>
      </c>
      <c r="BS6" s="715">
        <v>3627</v>
      </c>
      <c r="BT6" s="715">
        <v>5201616.7699999986</v>
      </c>
      <c r="BU6" s="715">
        <v>29</v>
      </c>
      <c r="BV6" s="715">
        <v>150051.77000000002</v>
      </c>
      <c r="BW6" s="715">
        <v>4</v>
      </c>
      <c r="BX6" s="715">
        <v>0</v>
      </c>
      <c r="BY6" s="715">
        <v>0</v>
      </c>
      <c r="BZ6" s="715">
        <v>3272.83</v>
      </c>
      <c r="CA6" s="715">
        <v>1</v>
      </c>
      <c r="CB6" s="715">
        <v>0</v>
      </c>
      <c r="CC6" s="715">
        <v>0</v>
      </c>
      <c r="CD6" s="715">
        <v>0</v>
      </c>
      <c r="CE6" s="715">
        <v>0</v>
      </c>
      <c r="CF6" s="715">
        <v>3724886.27</v>
      </c>
      <c r="CG6" s="715">
        <v>0</v>
      </c>
      <c r="CH6" s="715">
        <v>0</v>
      </c>
      <c r="CI6" s="713">
        <v>45565</v>
      </c>
      <c r="CJ6" t="s">
        <v>260</v>
      </c>
      <c r="CK6" t="s">
        <v>261</v>
      </c>
      <c r="CL6" s="5">
        <v>3609</v>
      </c>
      <c r="CM6" s="719"/>
      <c r="CN6" s="5"/>
    </row>
    <row r="7" spans="1:92" x14ac:dyDescent="0.2">
      <c r="A7" s="215">
        <v>45535</v>
      </c>
      <c r="B7" t="s">
        <v>899</v>
      </c>
      <c r="C7" t="s">
        <v>869</v>
      </c>
      <c r="D7" s="5">
        <v>0</v>
      </c>
      <c r="E7" s="5">
        <v>0</v>
      </c>
      <c r="F7" s="5">
        <v>0</v>
      </c>
      <c r="G7" s="5">
        <v>0</v>
      </c>
      <c r="H7" s="5">
        <v>0</v>
      </c>
      <c r="I7" s="5">
        <v>0</v>
      </c>
      <c r="J7" s="5">
        <v>0</v>
      </c>
      <c r="K7" s="5">
        <v>0</v>
      </c>
      <c r="L7" s="5">
        <v>0</v>
      </c>
      <c r="M7" s="5">
        <v>0</v>
      </c>
      <c r="N7" s="5">
        <v>0</v>
      </c>
      <c r="O7" s="5">
        <v>0</v>
      </c>
      <c r="P7" s="5">
        <v>0</v>
      </c>
      <c r="Q7" s="5">
        <v>3272.83</v>
      </c>
      <c r="R7" s="5">
        <v>0</v>
      </c>
      <c r="S7" s="5">
        <v>0</v>
      </c>
      <c r="T7" s="5">
        <v>0</v>
      </c>
      <c r="U7" s="5">
        <v>0</v>
      </c>
      <c r="V7" s="5">
        <v>0</v>
      </c>
      <c r="W7" s="5">
        <v>0</v>
      </c>
      <c r="X7" s="5">
        <v>0</v>
      </c>
      <c r="Y7" s="5">
        <v>0</v>
      </c>
      <c r="Z7" s="5">
        <v>0</v>
      </c>
      <c r="AA7" s="5">
        <v>0</v>
      </c>
      <c r="AB7" s="5">
        <v>0</v>
      </c>
      <c r="AC7" s="5">
        <v>0</v>
      </c>
      <c r="AD7" s="5">
        <v>0</v>
      </c>
      <c r="AE7" s="5">
        <v>0</v>
      </c>
      <c r="AF7" s="5">
        <v>0</v>
      </c>
      <c r="AG7" s="5">
        <v>0</v>
      </c>
      <c r="AH7" s="5">
        <v>0</v>
      </c>
      <c r="AI7" s="5">
        <v>0</v>
      </c>
      <c r="AJ7" s="5">
        <v>0</v>
      </c>
      <c r="AK7" s="5">
        <v>0</v>
      </c>
      <c r="AL7" s="5">
        <v>0</v>
      </c>
      <c r="AM7" s="5">
        <v>0</v>
      </c>
      <c r="AN7" s="5">
        <v>0</v>
      </c>
      <c r="AO7" s="5">
        <v>0</v>
      </c>
      <c r="AP7" s="5">
        <v>0</v>
      </c>
      <c r="AQ7" s="5">
        <v>0</v>
      </c>
      <c r="AR7" s="5">
        <v>3272.83</v>
      </c>
      <c r="AS7" s="5">
        <v>0</v>
      </c>
      <c r="AT7" s="5">
        <v>0</v>
      </c>
      <c r="AU7" s="5">
        <v>0</v>
      </c>
      <c r="AV7" s="5">
        <v>0</v>
      </c>
      <c r="AW7" s="5">
        <v>0</v>
      </c>
      <c r="AX7" s="5">
        <v>0</v>
      </c>
      <c r="AY7" s="5">
        <v>0</v>
      </c>
      <c r="AZ7" s="5">
        <v>0</v>
      </c>
      <c r="BA7" s="5">
        <v>0</v>
      </c>
      <c r="BB7" s="5">
        <v>0</v>
      </c>
      <c r="BC7" s="5">
        <v>0</v>
      </c>
      <c r="BD7" s="5">
        <v>0</v>
      </c>
      <c r="BE7" s="5">
        <v>0</v>
      </c>
      <c r="BF7" s="5">
        <v>0</v>
      </c>
      <c r="BG7" s="5">
        <v>0</v>
      </c>
      <c r="BH7" s="5">
        <v>0</v>
      </c>
      <c r="BI7" s="5">
        <v>0</v>
      </c>
      <c r="BK7" s="5">
        <v>0</v>
      </c>
      <c r="BL7" s="5">
        <v>0</v>
      </c>
      <c r="BM7" s="5">
        <v>0</v>
      </c>
      <c r="BN7" s="5">
        <v>0</v>
      </c>
      <c r="BO7" s="5">
        <v>0</v>
      </c>
      <c r="BP7" s="5">
        <v>0</v>
      </c>
      <c r="BQ7" s="713">
        <v>45473</v>
      </c>
      <c r="BR7" s="715">
        <v>698965879.67999971</v>
      </c>
      <c r="BS7" s="715">
        <v>3669</v>
      </c>
      <c r="BT7" s="715">
        <v>2195802.83</v>
      </c>
      <c r="BU7" s="715">
        <v>15</v>
      </c>
      <c r="BV7" s="715">
        <v>125580.36</v>
      </c>
      <c r="BW7" s="715">
        <v>3</v>
      </c>
      <c r="BX7" s="715">
        <v>0</v>
      </c>
      <c r="BY7" s="715">
        <v>1</v>
      </c>
      <c r="BZ7" s="715">
        <v>0</v>
      </c>
      <c r="CA7" s="715">
        <v>0</v>
      </c>
      <c r="CB7" s="715">
        <v>0</v>
      </c>
      <c r="CC7" s="715">
        <v>0</v>
      </c>
      <c r="CD7" s="715">
        <v>0</v>
      </c>
      <c r="CE7" s="715">
        <v>399475.56</v>
      </c>
      <c r="CF7" s="715">
        <v>3369319.82</v>
      </c>
      <c r="CG7" s="715">
        <v>0</v>
      </c>
      <c r="CH7" s="715">
        <v>399475.56</v>
      </c>
      <c r="CI7" s="713">
        <v>45565</v>
      </c>
      <c r="CJ7" t="s">
        <v>262</v>
      </c>
      <c r="CK7" t="s">
        <v>263</v>
      </c>
      <c r="CL7" s="5">
        <v>3225</v>
      </c>
      <c r="CM7" s="719"/>
      <c r="CN7" s="5"/>
    </row>
    <row r="8" spans="1:92" x14ac:dyDescent="0.2">
      <c r="A8" s="215">
        <v>45504</v>
      </c>
      <c r="B8" t="s">
        <v>899</v>
      </c>
      <c r="C8" t="s">
        <v>868</v>
      </c>
      <c r="D8" s="5">
        <v>701287262.86999977</v>
      </c>
      <c r="E8" s="5">
        <v>0</v>
      </c>
      <c r="F8" s="5">
        <v>4936030.2500000084</v>
      </c>
      <c r="G8" s="5">
        <v>917582.09000000008</v>
      </c>
      <c r="H8" s="5">
        <v>0</v>
      </c>
      <c r="I8" s="5">
        <v>250.37</v>
      </c>
      <c r="J8" s="5">
        <v>0</v>
      </c>
      <c r="K8" s="5">
        <v>0</v>
      </c>
      <c r="L8" s="5">
        <v>0</v>
      </c>
      <c r="M8" s="5">
        <v>0</v>
      </c>
      <c r="N8" s="5">
        <v>0</v>
      </c>
      <c r="O8" s="5">
        <v>0</v>
      </c>
      <c r="P8" s="5">
        <v>695433900.90000021</v>
      </c>
      <c r="Q8" s="5">
        <v>104466.44</v>
      </c>
      <c r="R8" s="5">
        <v>12795.280000000002</v>
      </c>
      <c r="S8" s="5">
        <v>0</v>
      </c>
      <c r="T8" s="5">
        <v>66126.87000000001</v>
      </c>
      <c r="U8" s="5">
        <v>9647.9500000000007</v>
      </c>
      <c r="V8" s="5">
        <v>0</v>
      </c>
      <c r="W8" s="5">
        <v>92195.04</v>
      </c>
      <c r="X8" s="5">
        <v>11927.030000000002</v>
      </c>
      <c r="Y8" s="5">
        <v>0</v>
      </c>
      <c r="Z8" s="5">
        <v>0</v>
      </c>
      <c r="AA8" s="5">
        <v>0</v>
      </c>
      <c r="AB8" s="5">
        <v>0</v>
      </c>
      <c r="AC8" s="5">
        <v>0</v>
      </c>
      <c r="AD8" s="5">
        <v>0</v>
      </c>
      <c r="AE8" s="5">
        <v>0</v>
      </c>
      <c r="AF8" s="5">
        <v>3272.83</v>
      </c>
      <c r="AG8" s="5">
        <v>0</v>
      </c>
      <c r="AH8" s="5">
        <v>0</v>
      </c>
      <c r="AI8" s="5">
        <v>0</v>
      </c>
      <c r="AJ8" s="5">
        <v>0</v>
      </c>
      <c r="AK8" s="5">
        <v>0</v>
      </c>
      <c r="AL8" s="5">
        <v>0</v>
      </c>
      <c r="AM8" s="5">
        <v>0</v>
      </c>
      <c r="AN8" s="5">
        <v>0</v>
      </c>
      <c r="AO8" s="5">
        <v>0</v>
      </c>
      <c r="AP8" s="5">
        <v>0</v>
      </c>
      <c r="AQ8" s="5">
        <v>0</v>
      </c>
      <c r="AR8" s="5">
        <v>75125.440000000017</v>
      </c>
      <c r="AS8" s="5">
        <v>10516.199999999999</v>
      </c>
      <c r="AT8" s="5">
        <v>0</v>
      </c>
      <c r="AU8" s="5">
        <v>4869903.3800000055</v>
      </c>
      <c r="AV8" s="5">
        <v>92195.04</v>
      </c>
      <c r="AW8" s="5">
        <v>917582.09000000008</v>
      </c>
      <c r="AX8" s="5">
        <v>5879680.5100000147</v>
      </c>
      <c r="AY8" s="5">
        <v>835676.32000000228</v>
      </c>
      <c r="AZ8" s="5">
        <v>11927.030000000002</v>
      </c>
      <c r="BA8" s="5">
        <v>85.460000000000022</v>
      </c>
      <c r="BB8" s="5">
        <v>101.62</v>
      </c>
      <c r="BC8" s="5">
        <v>0</v>
      </c>
      <c r="BD8" s="5">
        <v>5107.01</v>
      </c>
      <c r="BE8" s="5">
        <v>0</v>
      </c>
      <c r="BF8" s="5">
        <v>0</v>
      </c>
      <c r="BG8" s="5">
        <v>852897.44000000262</v>
      </c>
      <c r="BH8" s="5">
        <v>0</v>
      </c>
      <c r="BI8" s="5">
        <v>0</v>
      </c>
      <c r="BJ8" s="5">
        <v>0</v>
      </c>
      <c r="BK8" s="5">
        <v>6732577.9499999853</v>
      </c>
      <c r="BL8" s="5">
        <v>6732577.9500000132</v>
      </c>
      <c r="BM8" s="5">
        <v>0</v>
      </c>
      <c r="BN8" s="5">
        <v>396989.32999999961</v>
      </c>
      <c r="BO8" s="5">
        <v>0</v>
      </c>
      <c r="BP8" s="5">
        <v>0</v>
      </c>
      <c r="BQ8" s="215">
        <v>45443</v>
      </c>
      <c r="BR8" s="5">
        <v>702398532.93000031</v>
      </c>
      <c r="BS8" s="5">
        <v>3682</v>
      </c>
      <c r="BT8" s="5">
        <v>4355821.4400000004</v>
      </c>
      <c r="BU8" s="5">
        <v>22</v>
      </c>
      <c r="BV8" s="5">
        <v>87910.75</v>
      </c>
      <c r="BW8" s="5">
        <v>2</v>
      </c>
      <c r="BX8" s="5">
        <v>0</v>
      </c>
      <c r="BY8" s="5">
        <v>0</v>
      </c>
      <c r="BZ8" s="5">
        <v>0</v>
      </c>
      <c r="CA8" s="5">
        <v>0</v>
      </c>
      <c r="CB8" s="5">
        <v>0</v>
      </c>
      <c r="CC8" s="5">
        <v>0</v>
      </c>
      <c r="CD8" s="5">
        <v>0</v>
      </c>
      <c r="CE8" s="5">
        <v>0</v>
      </c>
      <c r="CF8" s="5">
        <v>3775212.81</v>
      </c>
      <c r="CG8" s="5">
        <v>0</v>
      </c>
      <c r="CH8" s="5">
        <v>0</v>
      </c>
      <c r="CI8" s="713">
        <v>45565</v>
      </c>
      <c r="CJ8" t="s">
        <v>264</v>
      </c>
      <c r="CK8" t="s">
        <v>265</v>
      </c>
      <c r="CL8" s="5">
        <v>189239.83817677968</v>
      </c>
      <c r="CM8" s="719"/>
      <c r="CN8" s="5"/>
    </row>
    <row r="9" spans="1:92" x14ac:dyDescent="0.2">
      <c r="A9" s="215">
        <v>45504</v>
      </c>
      <c r="B9" t="s">
        <v>899</v>
      </c>
      <c r="C9" t="s">
        <v>869</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3272.83</v>
      </c>
      <c r="AG9" s="5">
        <v>0</v>
      </c>
      <c r="AH9" s="5">
        <v>0</v>
      </c>
      <c r="AI9" s="5">
        <v>0</v>
      </c>
      <c r="AJ9" s="5">
        <v>0</v>
      </c>
      <c r="AK9" s="5">
        <v>0</v>
      </c>
      <c r="AL9" s="5">
        <v>0</v>
      </c>
      <c r="AM9" s="5">
        <v>0</v>
      </c>
      <c r="AN9" s="5">
        <v>0</v>
      </c>
      <c r="AO9" s="5">
        <v>0</v>
      </c>
      <c r="AP9" s="5">
        <v>0</v>
      </c>
      <c r="AQ9" s="5">
        <v>0</v>
      </c>
      <c r="AR9" s="5">
        <v>3272.83</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K9" s="5">
        <v>0</v>
      </c>
      <c r="BL9" s="5">
        <v>0</v>
      </c>
      <c r="BM9" s="5">
        <v>0</v>
      </c>
      <c r="BN9" s="5">
        <v>0</v>
      </c>
      <c r="BO9" s="5">
        <v>0</v>
      </c>
      <c r="BP9" s="5">
        <v>0</v>
      </c>
      <c r="BQ9" s="215">
        <v>45412</v>
      </c>
      <c r="BR9" s="5">
        <v>706600362.5200007</v>
      </c>
      <c r="BS9" s="5">
        <v>3697</v>
      </c>
      <c r="BT9" s="5">
        <v>5711069.3900000015</v>
      </c>
      <c r="BU9" s="5">
        <v>31</v>
      </c>
      <c r="BV9" s="5">
        <v>3382.05</v>
      </c>
      <c r="BW9" s="5">
        <v>1</v>
      </c>
      <c r="BX9" s="5">
        <v>0</v>
      </c>
      <c r="BY9" s="5">
        <v>0</v>
      </c>
      <c r="BZ9" s="5">
        <v>0</v>
      </c>
      <c r="CA9" s="5">
        <v>0</v>
      </c>
      <c r="CB9" s="5">
        <v>0</v>
      </c>
      <c r="CC9" s="5">
        <v>0</v>
      </c>
      <c r="CD9" s="5">
        <v>0</v>
      </c>
      <c r="CE9" s="5">
        <v>0</v>
      </c>
      <c r="CF9" s="5">
        <v>3780146.77</v>
      </c>
      <c r="CG9" s="5">
        <v>0</v>
      </c>
      <c r="CH9" s="916">
        <v>0</v>
      </c>
      <c r="CI9" s="713">
        <v>45565</v>
      </c>
      <c r="CJ9" t="s">
        <v>266</v>
      </c>
      <c r="CK9" t="s">
        <v>267</v>
      </c>
      <c r="CL9" s="5">
        <v>1.4292423006452863E-2</v>
      </c>
      <c r="CM9" s="719"/>
      <c r="CN9" s="5"/>
    </row>
    <row r="10" spans="1:92" x14ac:dyDescent="0.2">
      <c r="A10" s="215">
        <v>45473</v>
      </c>
      <c r="B10" t="s">
        <v>899</v>
      </c>
      <c r="C10" t="s">
        <v>868</v>
      </c>
      <c r="D10" s="5">
        <v>706842265.12000024</v>
      </c>
      <c r="E10" s="5">
        <v>0</v>
      </c>
      <c r="F10" s="5">
        <v>4887596.6399999978</v>
      </c>
      <c r="G10" s="5">
        <v>667655.79</v>
      </c>
      <c r="H10" s="5">
        <v>0</v>
      </c>
      <c r="I10" s="5">
        <v>250.18</v>
      </c>
      <c r="J10" s="5">
        <v>0</v>
      </c>
      <c r="K10" s="5">
        <v>0</v>
      </c>
      <c r="L10" s="5">
        <v>0</v>
      </c>
      <c r="M10" s="5">
        <v>0</v>
      </c>
      <c r="N10" s="5">
        <v>0</v>
      </c>
      <c r="O10" s="5">
        <v>0</v>
      </c>
      <c r="P10" s="5">
        <v>701287262.86999977</v>
      </c>
      <c r="Q10" s="5">
        <v>57532.390000000014</v>
      </c>
      <c r="R10" s="5">
        <v>7687.0799999999981</v>
      </c>
      <c r="S10" s="5">
        <v>0</v>
      </c>
      <c r="T10" s="5">
        <v>92567.569999999992</v>
      </c>
      <c r="U10" s="5">
        <v>12093.820000000002</v>
      </c>
      <c r="V10" s="5">
        <v>0</v>
      </c>
      <c r="W10" s="5">
        <v>45633.520000000019</v>
      </c>
      <c r="X10" s="5">
        <v>6985.619999999999</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104466.44</v>
      </c>
      <c r="AS10" s="5">
        <v>12795.280000000002</v>
      </c>
      <c r="AT10" s="5">
        <v>0</v>
      </c>
      <c r="AU10" s="5">
        <v>4795029.0699999994</v>
      </c>
      <c r="AV10" s="5">
        <v>45633.520000000019</v>
      </c>
      <c r="AW10" s="5">
        <v>667655.79</v>
      </c>
      <c r="AX10" s="5">
        <v>5508318.3800000045</v>
      </c>
      <c r="AY10" s="5">
        <v>836869.96000000054</v>
      </c>
      <c r="AZ10" s="5">
        <v>6985.619999999999</v>
      </c>
      <c r="BA10" s="5">
        <v>66.449999999999989</v>
      </c>
      <c r="BB10" s="5">
        <v>94.960000000000022</v>
      </c>
      <c r="BC10" s="5">
        <v>0</v>
      </c>
      <c r="BD10" s="5">
        <v>746.26</v>
      </c>
      <c r="BE10" s="5">
        <v>334.82</v>
      </c>
      <c r="BF10" s="5">
        <v>0</v>
      </c>
      <c r="BG10" s="5">
        <v>845098.0700000003</v>
      </c>
      <c r="BH10" s="5">
        <v>0</v>
      </c>
      <c r="BI10" s="5">
        <v>0</v>
      </c>
      <c r="BJ10" s="5">
        <v>0</v>
      </c>
      <c r="BK10" s="5">
        <v>6353416.4499999937</v>
      </c>
      <c r="BL10" s="5">
        <v>6353416.4499999927</v>
      </c>
      <c r="BM10" s="5">
        <v>0</v>
      </c>
      <c r="BN10" s="5">
        <v>392184.97000000055</v>
      </c>
      <c r="BO10" s="5">
        <v>0</v>
      </c>
      <c r="BP10" s="5">
        <v>0</v>
      </c>
      <c r="BQ10" s="215">
        <v>45382</v>
      </c>
      <c r="BR10" s="5">
        <v>714031765.05999994</v>
      </c>
      <c r="BS10" s="5">
        <v>3720</v>
      </c>
      <c r="BT10" s="5">
        <v>2648673.5900000003</v>
      </c>
      <c r="BU10" s="5">
        <v>19</v>
      </c>
      <c r="BV10" s="5">
        <v>998843.09</v>
      </c>
      <c r="BW10" s="5">
        <v>5</v>
      </c>
      <c r="BX10" s="5">
        <v>105122.68000000002</v>
      </c>
      <c r="BY10" s="5">
        <v>4</v>
      </c>
      <c r="BZ10" s="5">
        <v>0</v>
      </c>
      <c r="CA10" s="5">
        <v>0</v>
      </c>
      <c r="CB10" s="5">
        <v>0</v>
      </c>
      <c r="CC10" s="5">
        <v>0</v>
      </c>
      <c r="CD10" s="5">
        <v>0</v>
      </c>
      <c r="CE10" s="5">
        <v>405892.99</v>
      </c>
      <c r="CF10" s="5">
        <v>3418102.59</v>
      </c>
      <c r="CG10" s="5">
        <v>0</v>
      </c>
      <c r="CH10" s="5">
        <v>405892.99</v>
      </c>
      <c r="CI10" s="713">
        <v>45565</v>
      </c>
      <c r="CJ10" t="s">
        <v>268</v>
      </c>
      <c r="CK10" t="s">
        <v>269</v>
      </c>
      <c r="CL10" s="5">
        <v>235.04103788893377</v>
      </c>
      <c r="CM10" s="719"/>
      <c r="CN10" s="5"/>
    </row>
    <row r="11" spans="1:92" x14ac:dyDescent="0.2">
      <c r="A11" s="215">
        <v>45473</v>
      </c>
      <c r="B11" t="s">
        <v>899</v>
      </c>
      <c r="C11" t="s">
        <v>869</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K11" s="5">
        <v>0</v>
      </c>
      <c r="BL11" s="5">
        <v>0</v>
      </c>
      <c r="BM11" s="5">
        <v>0</v>
      </c>
      <c r="BN11" s="5">
        <v>0</v>
      </c>
      <c r="BO11" s="5">
        <v>0</v>
      </c>
      <c r="BP11" s="5">
        <v>0</v>
      </c>
      <c r="BQ11" s="215">
        <v>45351</v>
      </c>
      <c r="BR11" s="5">
        <v>719723249.09000003</v>
      </c>
      <c r="BS11" s="5">
        <v>3739</v>
      </c>
      <c r="BT11" s="5">
        <v>3474341.62</v>
      </c>
      <c r="BU11" s="5">
        <v>19</v>
      </c>
      <c r="BV11" s="5">
        <v>709984.85</v>
      </c>
      <c r="BW11" s="5">
        <v>8</v>
      </c>
      <c r="BX11" s="5">
        <v>177091.55</v>
      </c>
      <c r="BY11" s="5">
        <v>2</v>
      </c>
      <c r="BZ11" s="5">
        <v>0</v>
      </c>
      <c r="CA11" s="5">
        <v>0</v>
      </c>
      <c r="CB11" s="5">
        <v>0</v>
      </c>
      <c r="CC11" s="5">
        <v>0</v>
      </c>
      <c r="CD11" s="5">
        <v>0</v>
      </c>
      <c r="CE11" s="5">
        <v>0</v>
      </c>
      <c r="CF11" s="5">
        <v>3832111.27</v>
      </c>
      <c r="CG11" s="5">
        <v>0</v>
      </c>
      <c r="CH11" s="5">
        <v>0</v>
      </c>
      <c r="CI11" s="713">
        <v>45565</v>
      </c>
      <c r="CJ11" t="s">
        <v>270</v>
      </c>
      <c r="CK11" t="s">
        <v>271</v>
      </c>
      <c r="CL11" s="5">
        <v>60.80426246006548</v>
      </c>
      <c r="CM11" s="719"/>
      <c r="CN11" s="5"/>
    </row>
    <row r="12" spans="1:92" x14ac:dyDescent="0.2">
      <c r="A12" s="215">
        <v>45443</v>
      </c>
      <c r="B12" t="s">
        <v>899</v>
      </c>
      <c r="C12" t="s">
        <v>868</v>
      </c>
      <c r="D12" s="5">
        <v>712314813.96000087</v>
      </c>
      <c r="E12" s="5">
        <v>0</v>
      </c>
      <c r="F12" s="5">
        <v>4892047.1100000022</v>
      </c>
      <c r="G12" s="5">
        <v>581914.99</v>
      </c>
      <c r="H12" s="5">
        <v>0</v>
      </c>
      <c r="I12" s="5">
        <v>1413.2599999999998</v>
      </c>
      <c r="J12" s="5">
        <v>0</v>
      </c>
      <c r="K12" s="5">
        <v>0</v>
      </c>
      <c r="L12" s="5">
        <v>0</v>
      </c>
      <c r="M12" s="5">
        <v>0</v>
      </c>
      <c r="N12" s="5">
        <v>0</v>
      </c>
      <c r="O12" s="5">
        <v>0</v>
      </c>
      <c r="P12" s="5">
        <v>706842265.12000024</v>
      </c>
      <c r="Q12" s="5">
        <v>83181.740000000005</v>
      </c>
      <c r="R12" s="5">
        <v>5249.6399999999994</v>
      </c>
      <c r="S12" s="5">
        <v>0</v>
      </c>
      <c r="T12" s="5">
        <v>45638.840000000011</v>
      </c>
      <c r="U12" s="5">
        <v>6830.32</v>
      </c>
      <c r="V12" s="5">
        <v>0</v>
      </c>
      <c r="W12" s="5">
        <v>71288.189999999988</v>
      </c>
      <c r="X12" s="5">
        <v>4392.8799999999992</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57532.390000000014</v>
      </c>
      <c r="AS12" s="5">
        <v>7687.0799999999981</v>
      </c>
      <c r="AT12" s="5">
        <v>0</v>
      </c>
      <c r="AU12" s="5">
        <v>4846408.2700000014</v>
      </c>
      <c r="AV12" s="5">
        <v>71288.189999999988</v>
      </c>
      <c r="AW12" s="5">
        <v>581914.99</v>
      </c>
      <c r="AX12" s="5">
        <v>5499611.4499999927</v>
      </c>
      <c r="AY12" s="5">
        <v>848277.42000000027</v>
      </c>
      <c r="AZ12" s="5">
        <v>4392.8799999999992</v>
      </c>
      <c r="BA12" s="5">
        <v>66.680000000000021</v>
      </c>
      <c r="BB12" s="5">
        <v>83.94999999999996</v>
      </c>
      <c r="BC12" s="5">
        <v>0</v>
      </c>
      <c r="BD12" s="5">
        <v>1290.83</v>
      </c>
      <c r="BE12" s="5">
        <v>11.33</v>
      </c>
      <c r="BF12" s="5">
        <v>0</v>
      </c>
      <c r="BG12" s="5">
        <v>854123.09000000055</v>
      </c>
      <c r="BH12" s="5">
        <v>0</v>
      </c>
      <c r="BI12" s="5">
        <v>0</v>
      </c>
      <c r="BJ12" s="5">
        <v>0</v>
      </c>
      <c r="BK12" s="5">
        <v>6353734.540000001</v>
      </c>
      <c r="BL12" s="5">
        <v>6353734.540000001</v>
      </c>
      <c r="BM12" s="5">
        <v>0</v>
      </c>
      <c r="BN12" s="5">
        <v>410525.70000000106</v>
      </c>
      <c r="BO12" s="5">
        <v>0</v>
      </c>
      <c r="BP12" s="5">
        <v>0</v>
      </c>
      <c r="BQ12" s="215">
        <v>45322</v>
      </c>
      <c r="BR12" s="5">
        <v>726618592.59000003</v>
      </c>
      <c r="BS12" s="5">
        <v>3767</v>
      </c>
      <c r="BT12" s="5">
        <v>4811753.3499999996</v>
      </c>
      <c r="BU12" s="5">
        <v>19</v>
      </c>
      <c r="BV12" s="5">
        <v>1267152.06</v>
      </c>
      <c r="BW12" s="5">
        <v>7</v>
      </c>
      <c r="BX12" s="5">
        <v>0</v>
      </c>
      <c r="BY12" s="5">
        <v>0</v>
      </c>
      <c r="BZ12" s="5">
        <v>0</v>
      </c>
      <c r="CA12" s="5">
        <v>0</v>
      </c>
      <c r="CB12" s="5">
        <v>0</v>
      </c>
      <c r="CC12" s="5">
        <v>0</v>
      </c>
      <c r="CD12" s="5">
        <v>0</v>
      </c>
      <c r="CE12" s="5">
        <v>0</v>
      </c>
      <c r="CF12" s="5">
        <v>3837031.38</v>
      </c>
      <c r="CG12" s="5">
        <v>0</v>
      </c>
      <c r="CH12" s="5">
        <v>0</v>
      </c>
      <c r="CI12" s="713">
        <v>45565</v>
      </c>
      <c r="CJ12" t="s">
        <v>272</v>
      </c>
      <c r="CK12" t="s">
        <v>273</v>
      </c>
      <c r="CL12" s="5">
        <v>174.23677542886819</v>
      </c>
      <c r="CM12" s="719"/>
      <c r="CN12" s="5"/>
    </row>
    <row r="13" spans="1:92" x14ac:dyDescent="0.2">
      <c r="A13" s="215">
        <v>45443</v>
      </c>
      <c r="B13" t="s">
        <v>899</v>
      </c>
      <c r="C13" t="s">
        <v>869</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K13" s="5">
        <v>0</v>
      </c>
      <c r="BL13" s="5">
        <v>0</v>
      </c>
      <c r="BM13" s="5">
        <v>0</v>
      </c>
      <c r="BN13" s="5">
        <v>0</v>
      </c>
      <c r="BO13" s="5">
        <v>0</v>
      </c>
      <c r="BP13" s="5">
        <v>0</v>
      </c>
      <c r="BQ13" s="215">
        <v>45291</v>
      </c>
      <c r="BR13" s="5">
        <v>735712836.07000005</v>
      </c>
      <c r="BS13" s="5">
        <v>3800</v>
      </c>
      <c r="BT13" s="5">
        <v>2818782.74</v>
      </c>
      <c r="BU13" s="5">
        <v>16</v>
      </c>
      <c r="BV13" s="5">
        <v>654738.47</v>
      </c>
      <c r="BW13" s="5">
        <v>2</v>
      </c>
      <c r="BX13" s="5">
        <v>0</v>
      </c>
      <c r="BY13" s="5">
        <v>0</v>
      </c>
      <c r="BZ13" s="5">
        <v>0</v>
      </c>
      <c r="CA13" s="5">
        <v>0</v>
      </c>
      <c r="CB13" s="5">
        <v>0</v>
      </c>
      <c r="CC13" s="5">
        <v>0</v>
      </c>
      <c r="CD13" s="5">
        <v>0</v>
      </c>
      <c r="CE13" s="5">
        <v>1717.46</v>
      </c>
      <c r="CF13" s="5">
        <v>3879102.52</v>
      </c>
      <c r="CG13" s="5">
        <v>0</v>
      </c>
      <c r="CH13" s="5">
        <v>1717.46</v>
      </c>
      <c r="CI13" s="713">
        <v>45565</v>
      </c>
      <c r="CJ13" t="s">
        <v>274</v>
      </c>
      <c r="CK13" t="s">
        <v>275</v>
      </c>
      <c r="CL13" s="5">
        <v>0.79181239487595501</v>
      </c>
      <c r="CM13" s="719"/>
      <c r="CN13" s="5"/>
    </row>
    <row r="14" spans="1:92" x14ac:dyDescent="0.2">
      <c r="A14" s="215">
        <v>45412</v>
      </c>
      <c r="B14" t="s">
        <v>899</v>
      </c>
      <c r="C14" t="s">
        <v>868</v>
      </c>
      <c r="D14" s="5">
        <v>717784404.42000175</v>
      </c>
      <c r="E14" s="5">
        <v>0</v>
      </c>
      <c r="F14" s="5">
        <v>4955354.1600000011</v>
      </c>
      <c r="G14" s="5">
        <v>515506.72</v>
      </c>
      <c r="H14" s="5">
        <v>0</v>
      </c>
      <c r="I14" s="5">
        <v>1270.4199999999998</v>
      </c>
      <c r="J14" s="5">
        <v>0</v>
      </c>
      <c r="K14" s="5">
        <v>0</v>
      </c>
      <c r="L14" s="5">
        <v>0</v>
      </c>
      <c r="M14" s="5">
        <v>0</v>
      </c>
      <c r="N14" s="5">
        <v>0</v>
      </c>
      <c r="O14" s="5">
        <v>0</v>
      </c>
      <c r="P14" s="5">
        <v>712314813.96000087</v>
      </c>
      <c r="Q14" s="5">
        <v>84046.089999999967</v>
      </c>
      <c r="R14" s="5">
        <v>5659.4600000000009</v>
      </c>
      <c r="S14" s="5">
        <v>0</v>
      </c>
      <c r="T14" s="5">
        <v>74590.569999999992</v>
      </c>
      <c r="U14" s="5">
        <v>4421.66</v>
      </c>
      <c r="V14" s="5">
        <v>0</v>
      </c>
      <c r="W14" s="5">
        <v>75454.919999999984</v>
      </c>
      <c r="X14" s="5">
        <v>4831.4800000000014</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83181.740000000005</v>
      </c>
      <c r="AS14" s="5">
        <v>5249.6399999999994</v>
      </c>
      <c r="AT14" s="5">
        <v>0</v>
      </c>
      <c r="AU14" s="5">
        <v>4880763.589999998</v>
      </c>
      <c r="AV14" s="5">
        <v>75454.919999999984</v>
      </c>
      <c r="AW14" s="5">
        <v>515506.72</v>
      </c>
      <c r="AX14" s="5">
        <v>5471725.2299999967</v>
      </c>
      <c r="AY14" s="5">
        <v>863157.00999999978</v>
      </c>
      <c r="AZ14" s="5">
        <v>4831.4800000000014</v>
      </c>
      <c r="BA14" s="5">
        <v>94.38000000000001</v>
      </c>
      <c r="BB14" s="5">
        <v>118.33999999999997</v>
      </c>
      <c r="BC14" s="5">
        <v>0</v>
      </c>
      <c r="BD14" s="5">
        <v>3335.81</v>
      </c>
      <c r="BE14" s="5">
        <v>42.980000000000004</v>
      </c>
      <c r="BF14" s="5">
        <v>0</v>
      </c>
      <c r="BG14" s="5">
        <v>871579.99999999942</v>
      </c>
      <c r="BH14" s="5">
        <v>0</v>
      </c>
      <c r="BI14" s="5">
        <v>0</v>
      </c>
      <c r="BJ14" s="5">
        <v>0</v>
      </c>
      <c r="BK14" s="5">
        <v>6343305.2299999986</v>
      </c>
      <c r="BL14" s="5">
        <v>6343305.2299999986</v>
      </c>
      <c r="BM14" s="5">
        <v>0</v>
      </c>
      <c r="BN14" s="5">
        <v>397980.56000000017</v>
      </c>
      <c r="BO14" s="5">
        <v>0</v>
      </c>
      <c r="BP14" s="5">
        <v>0</v>
      </c>
      <c r="BQ14" s="215">
        <v>45260</v>
      </c>
      <c r="BR14" s="5">
        <v>742196949.74000001</v>
      </c>
      <c r="BS14" s="5">
        <v>3832</v>
      </c>
      <c r="BT14" s="5">
        <v>1801102.29</v>
      </c>
      <c r="BU14" s="5">
        <v>10</v>
      </c>
      <c r="BV14" s="5">
        <v>801737.43</v>
      </c>
      <c r="BW14" s="5">
        <v>5</v>
      </c>
      <c r="BX14" s="5">
        <v>0</v>
      </c>
      <c r="BY14" s="5">
        <v>0</v>
      </c>
      <c r="BZ14" s="5">
        <v>0</v>
      </c>
      <c r="CA14" s="5">
        <v>0</v>
      </c>
      <c r="CB14" s="5">
        <v>0</v>
      </c>
      <c r="CC14" s="5">
        <v>0</v>
      </c>
      <c r="CD14" s="5">
        <v>0</v>
      </c>
      <c r="CE14" s="5">
        <v>0</v>
      </c>
      <c r="CF14" s="5">
        <v>3888899.28</v>
      </c>
      <c r="CG14" s="5">
        <v>0</v>
      </c>
      <c r="CH14" s="5">
        <v>0</v>
      </c>
      <c r="CI14" s="713">
        <v>45565</v>
      </c>
      <c r="CJ14" t="s">
        <v>276</v>
      </c>
      <c r="CK14" t="s">
        <v>870</v>
      </c>
      <c r="CL14" s="5">
        <v>0.60841679098001999</v>
      </c>
      <c r="CM14" s="719"/>
      <c r="CN14" s="5"/>
    </row>
    <row r="15" spans="1:92" x14ac:dyDescent="0.2">
      <c r="A15" s="215">
        <v>45412</v>
      </c>
      <c r="B15" t="s">
        <v>899</v>
      </c>
      <c r="C15" t="s">
        <v>869</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K15" s="5">
        <v>0</v>
      </c>
      <c r="BL15" s="5">
        <v>0</v>
      </c>
      <c r="BM15" s="5">
        <v>0</v>
      </c>
      <c r="BN15" s="5">
        <v>0</v>
      </c>
      <c r="BO15" s="5">
        <v>0</v>
      </c>
      <c r="BP15" s="5">
        <v>0</v>
      </c>
      <c r="BQ15" s="215">
        <v>45230</v>
      </c>
      <c r="BR15" s="5">
        <v>751085014.37</v>
      </c>
      <c r="BS15" s="5">
        <v>3847</v>
      </c>
      <c r="BT15" s="5">
        <v>0</v>
      </c>
      <c r="BU15" s="5">
        <v>0</v>
      </c>
      <c r="BV15" s="5">
        <v>0</v>
      </c>
      <c r="BW15" s="5">
        <v>0</v>
      </c>
      <c r="BX15" s="5">
        <v>0</v>
      </c>
      <c r="BY15" s="5">
        <v>0</v>
      </c>
      <c r="BZ15" s="5">
        <v>0</v>
      </c>
      <c r="CA15" s="5">
        <v>0</v>
      </c>
      <c r="CB15" s="5">
        <v>0</v>
      </c>
      <c r="CC15" s="5">
        <v>0</v>
      </c>
      <c r="CD15" s="5">
        <v>0</v>
      </c>
      <c r="CE15" s="5">
        <v>0</v>
      </c>
      <c r="CF15" s="5">
        <v>3893805.59</v>
      </c>
      <c r="CG15" s="5">
        <v>0</v>
      </c>
      <c r="CH15" s="5">
        <v>0</v>
      </c>
      <c r="CI15" s="713">
        <v>45565</v>
      </c>
      <c r="CJ15" t="s">
        <v>278</v>
      </c>
      <c r="CK15" t="s">
        <v>1248</v>
      </c>
      <c r="CL15" s="5">
        <v>0.45371917926047167</v>
      </c>
      <c r="CM15" s="719"/>
      <c r="CN15" s="5"/>
    </row>
    <row r="16" spans="1:92" x14ac:dyDescent="0.2">
      <c r="A16" s="215">
        <v>45382</v>
      </c>
      <c r="B16" t="s">
        <v>899</v>
      </c>
      <c r="C16" t="s">
        <v>868</v>
      </c>
      <c r="D16" s="5">
        <v>724084667.10999954</v>
      </c>
      <c r="E16" s="5">
        <v>0</v>
      </c>
      <c r="F16" s="5">
        <v>4929820.2499999972</v>
      </c>
      <c r="G16" s="5">
        <v>1371710.64</v>
      </c>
      <c r="H16" s="5">
        <v>0</v>
      </c>
      <c r="I16" s="5">
        <v>1268.2</v>
      </c>
      <c r="J16" s="5">
        <v>0</v>
      </c>
      <c r="K16" s="5">
        <v>0</v>
      </c>
      <c r="L16" s="5">
        <v>0</v>
      </c>
      <c r="M16" s="5">
        <v>0</v>
      </c>
      <c r="N16" s="5">
        <v>0</v>
      </c>
      <c r="O16" s="5">
        <v>0</v>
      </c>
      <c r="P16" s="5">
        <v>717784404.41999996</v>
      </c>
      <c r="Q16" s="5">
        <v>86286.680000000022</v>
      </c>
      <c r="R16" s="5">
        <v>6989.1299999999992</v>
      </c>
      <c r="S16" s="5">
        <v>0</v>
      </c>
      <c r="T16" s="5">
        <v>70299.989999999962</v>
      </c>
      <c r="U16" s="5">
        <v>4775.9099999999989</v>
      </c>
      <c r="V16" s="5">
        <v>0</v>
      </c>
      <c r="W16" s="5">
        <v>72540.579999999973</v>
      </c>
      <c r="X16" s="5">
        <v>6105.58</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84046.089999999967</v>
      </c>
      <c r="AS16" s="5">
        <v>5659.4600000000009</v>
      </c>
      <c r="AT16" s="5">
        <v>0</v>
      </c>
      <c r="AU16" s="5">
        <v>4859520.2599999951</v>
      </c>
      <c r="AV16" s="5">
        <v>72540.579999999973</v>
      </c>
      <c r="AW16" s="5">
        <v>1371710.64</v>
      </c>
      <c r="AX16" s="5">
        <v>6303771.4799999986</v>
      </c>
      <c r="AY16" s="5">
        <v>868476.57</v>
      </c>
      <c r="AZ16" s="5">
        <v>6105.58</v>
      </c>
      <c r="BA16" s="5">
        <v>93.37</v>
      </c>
      <c r="BB16" s="5">
        <v>98.68</v>
      </c>
      <c r="BC16" s="5">
        <v>0</v>
      </c>
      <c r="BD16" s="5">
        <v>9027.6500000000015</v>
      </c>
      <c r="BE16" s="5">
        <v>57.430000000000007</v>
      </c>
      <c r="BF16" s="5">
        <v>0</v>
      </c>
      <c r="BG16" s="5">
        <v>883859.28</v>
      </c>
      <c r="BH16" s="5">
        <v>0</v>
      </c>
      <c r="BI16" s="5">
        <v>0</v>
      </c>
      <c r="BJ16" s="5">
        <v>0</v>
      </c>
      <c r="BK16" s="5">
        <v>7187630.7599999998</v>
      </c>
      <c r="BL16" s="5">
        <v>7187630.7599999998</v>
      </c>
      <c r="BM16" s="5">
        <v>419128.93</v>
      </c>
      <c r="BN16" s="5">
        <v>419128.93</v>
      </c>
      <c r="BO16" s="5">
        <v>0</v>
      </c>
      <c r="BP16" s="5">
        <v>0</v>
      </c>
      <c r="BQ16" s="215"/>
      <c r="BV16" s="5"/>
      <c r="BW16" s="5"/>
      <c r="BX16" s="5"/>
      <c r="BY16" s="5"/>
      <c r="BZ16" s="5"/>
      <c r="CA16" s="5"/>
      <c r="CI16" s="713">
        <v>45565</v>
      </c>
      <c r="CJ16" t="s">
        <v>279</v>
      </c>
      <c r="CK16" t="s">
        <v>282</v>
      </c>
      <c r="CL16" s="5">
        <v>0.14300798347247448</v>
      </c>
      <c r="CM16" s="719"/>
      <c r="CN16" s="5"/>
    </row>
    <row r="17" spans="1:92" x14ac:dyDescent="0.2">
      <c r="A17" s="215">
        <v>45382</v>
      </c>
      <c r="B17" t="s">
        <v>899</v>
      </c>
      <c r="C17" t="s">
        <v>869</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215"/>
      <c r="BV17" s="5"/>
      <c r="BW17" s="5"/>
      <c r="BX17" s="5"/>
      <c r="BY17" s="5"/>
      <c r="BZ17" s="5"/>
      <c r="CA17" s="5"/>
      <c r="CI17" s="713">
        <v>45565</v>
      </c>
      <c r="CJ17" t="s">
        <v>280</v>
      </c>
      <c r="CK17" t="s">
        <v>284</v>
      </c>
      <c r="CL17" s="5">
        <v>4.0761019995823794E-2</v>
      </c>
      <c r="CM17" s="719"/>
      <c r="CN17" s="5"/>
    </row>
    <row r="18" spans="1:92" x14ac:dyDescent="0.2">
      <c r="A18" s="215">
        <v>45351</v>
      </c>
      <c r="B18" t="s">
        <v>899</v>
      </c>
      <c r="C18" t="s">
        <v>868</v>
      </c>
      <c r="D18" s="5">
        <v>732697498</v>
      </c>
      <c r="E18" s="5">
        <v>0</v>
      </c>
      <c r="F18" s="5">
        <v>4937474.88</v>
      </c>
      <c r="G18" s="5">
        <v>3676512.91</v>
      </c>
      <c r="H18" s="5">
        <v>0</v>
      </c>
      <c r="I18" s="5">
        <v>1156.9000000000001</v>
      </c>
      <c r="J18" s="5">
        <v>0</v>
      </c>
      <c r="K18" s="5">
        <v>0</v>
      </c>
      <c r="L18" s="5">
        <v>0</v>
      </c>
      <c r="M18" s="5">
        <v>0</v>
      </c>
      <c r="N18" s="5">
        <v>0</v>
      </c>
      <c r="O18" s="5">
        <v>0</v>
      </c>
      <c r="P18" s="5">
        <v>724084667.11000001</v>
      </c>
      <c r="Q18" s="5">
        <v>75111.850000000006</v>
      </c>
      <c r="R18" s="5">
        <v>8781.85</v>
      </c>
      <c r="S18" s="5">
        <v>0</v>
      </c>
      <c r="T18" s="5">
        <v>75747.429999999993</v>
      </c>
      <c r="U18" s="5">
        <v>5365.94</v>
      </c>
      <c r="V18" s="5">
        <v>0</v>
      </c>
      <c r="W18" s="5">
        <v>64572.6</v>
      </c>
      <c r="X18" s="5">
        <v>7158.66</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86286.68</v>
      </c>
      <c r="AS18" s="5">
        <v>6989.13</v>
      </c>
      <c r="AT18" s="5">
        <v>0</v>
      </c>
      <c r="AU18" s="5">
        <v>4861727.45</v>
      </c>
      <c r="AV18" s="5">
        <v>64572.6</v>
      </c>
      <c r="AW18" s="5">
        <v>3676512.91</v>
      </c>
      <c r="AX18" s="5">
        <v>8602812.9600000009</v>
      </c>
      <c r="AY18" s="5">
        <v>875993.2</v>
      </c>
      <c r="AZ18" s="5">
        <v>7158.66</v>
      </c>
      <c r="BA18" s="5">
        <v>104.95</v>
      </c>
      <c r="BB18" s="5">
        <v>115.6</v>
      </c>
      <c r="BC18" s="5">
        <v>0</v>
      </c>
      <c r="BD18" s="5">
        <v>1176.25</v>
      </c>
      <c r="BE18" s="5">
        <v>4.59</v>
      </c>
      <c r="BF18" s="5">
        <v>0</v>
      </c>
      <c r="BG18" s="5">
        <v>884553.25</v>
      </c>
      <c r="BH18" s="5">
        <v>0</v>
      </c>
      <c r="BI18" s="5">
        <v>0</v>
      </c>
      <c r="BJ18" s="5">
        <v>0</v>
      </c>
      <c r="BK18" s="5">
        <v>9487366.2100000009</v>
      </c>
      <c r="BL18" s="5">
        <v>9487366.2100000009</v>
      </c>
      <c r="BM18" s="5">
        <v>396472.88</v>
      </c>
      <c r="BN18" s="5">
        <v>396472.88</v>
      </c>
      <c r="BO18" s="5">
        <v>0</v>
      </c>
      <c r="BP18" s="5">
        <v>0</v>
      </c>
      <c r="BQ18" s="215"/>
      <c r="BV18" s="5"/>
      <c r="BW18" s="5"/>
      <c r="BX18" s="5"/>
      <c r="BY18" s="5"/>
      <c r="BZ18" s="5"/>
      <c r="CA18" s="5"/>
      <c r="CI18" s="713">
        <v>45565</v>
      </c>
      <c r="CJ18" t="s">
        <v>281</v>
      </c>
      <c r="CK18" t="s">
        <v>285</v>
      </c>
      <c r="CL18" s="5">
        <v>9.7764980935107354E-2</v>
      </c>
      <c r="CM18" s="719"/>
      <c r="CN18" s="5"/>
    </row>
    <row r="19" spans="1:92" x14ac:dyDescent="0.2">
      <c r="A19" s="215">
        <v>45351</v>
      </c>
      <c r="B19" t="s">
        <v>899</v>
      </c>
      <c r="C19" t="s">
        <v>869</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5">
        <v>0</v>
      </c>
      <c r="AT19" s="5">
        <v>0</v>
      </c>
      <c r="AU19" s="5">
        <v>0</v>
      </c>
      <c r="AV19" s="5">
        <v>0</v>
      </c>
      <c r="AW19" s="5">
        <v>0</v>
      </c>
      <c r="AX19" s="5">
        <v>0</v>
      </c>
      <c r="AY19" s="5">
        <v>0</v>
      </c>
      <c r="AZ19" s="5">
        <v>0</v>
      </c>
      <c r="BA19" s="5">
        <v>0</v>
      </c>
      <c r="BB19" s="5">
        <v>0</v>
      </c>
      <c r="BC19" s="5">
        <v>0</v>
      </c>
      <c r="BD19" s="5">
        <v>0</v>
      </c>
      <c r="BE19" s="5">
        <v>0</v>
      </c>
      <c r="BF19" s="5">
        <v>0</v>
      </c>
      <c r="BG19" s="5">
        <v>0</v>
      </c>
      <c r="BH19" s="5">
        <v>0</v>
      </c>
      <c r="BI19" s="5">
        <v>0</v>
      </c>
      <c r="BJ19" s="5">
        <v>0</v>
      </c>
      <c r="BK19" s="5">
        <v>0</v>
      </c>
      <c r="BL19" s="5">
        <v>0</v>
      </c>
      <c r="BM19" s="5">
        <v>0</v>
      </c>
      <c r="BN19" s="5">
        <v>0</v>
      </c>
      <c r="BO19" s="5">
        <v>0</v>
      </c>
      <c r="BP19" s="5">
        <v>0</v>
      </c>
      <c r="BQ19" s="215"/>
      <c r="BV19" s="5"/>
      <c r="BW19" s="5"/>
      <c r="BX19" s="5"/>
      <c r="BY19" s="5"/>
      <c r="BZ19" s="5"/>
      <c r="CA19" s="5"/>
      <c r="CI19" s="713">
        <v>45565</v>
      </c>
      <c r="CJ19" t="s">
        <v>283</v>
      </c>
      <c r="CK19" t="s">
        <v>286</v>
      </c>
      <c r="CL19" s="5">
        <v>0.71846601559659751</v>
      </c>
      <c r="CM19" s="719"/>
      <c r="CN19" s="5"/>
    </row>
    <row r="20" spans="1:92" x14ac:dyDescent="0.2">
      <c r="A20" s="215">
        <v>45322</v>
      </c>
      <c r="B20" t="s">
        <v>899</v>
      </c>
      <c r="C20" t="s">
        <v>868</v>
      </c>
      <c r="D20" s="5">
        <v>739186357.27999997</v>
      </c>
      <c r="E20" s="5">
        <v>0</v>
      </c>
      <c r="F20" s="5">
        <v>5002402.3099999996</v>
      </c>
      <c r="G20" s="5">
        <v>1486537.02</v>
      </c>
      <c r="H20" s="5">
        <v>0</v>
      </c>
      <c r="I20" s="5">
        <v>80.05</v>
      </c>
      <c r="J20" s="5">
        <v>0</v>
      </c>
      <c r="K20" s="5">
        <v>0</v>
      </c>
      <c r="L20" s="5">
        <v>0</v>
      </c>
      <c r="M20" s="5">
        <v>0</v>
      </c>
      <c r="N20" s="5">
        <v>0</v>
      </c>
      <c r="O20" s="5">
        <v>0</v>
      </c>
      <c r="P20" s="5">
        <v>732697498</v>
      </c>
      <c r="Q20" s="5">
        <v>92529.64</v>
      </c>
      <c r="R20" s="5">
        <v>10202.25</v>
      </c>
      <c r="S20" s="5">
        <v>0</v>
      </c>
      <c r="T20" s="5">
        <v>69781.22</v>
      </c>
      <c r="U20" s="5">
        <v>8565.07</v>
      </c>
      <c r="V20" s="5">
        <v>0</v>
      </c>
      <c r="W20" s="5">
        <v>87199.01</v>
      </c>
      <c r="X20" s="5">
        <v>9985.4699999999993</v>
      </c>
      <c r="Y20" s="5">
        <v>0</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v>0</v>
      </c>
      <c r="AQ20" s="5">
        <v>0</v>
      </c>
      <c r="AR20" s="5">
        <v>75111.850000000006</v>
      </c>
      <c r="AS20" s="5">
        <v>8781.85</v>
      </c>
      <c r="AT20" s="5">
        <v>0</v>
      </c>
      <c r="AU20" s="5">
        <v>4932621.09</v>
      </c>
      <c r="AV20" s="5">
        <v>87199.01</v>
      </c>
      <c r="AW20" s="5">
        <v>1486537.02</v>
      </c>
      <c r="AX20" s="5">
        <v>6506357.1200000001</v>
      </c>
      <c r="AY20" s="5">
        <v>886080.03</v>
      </c>
      <c r="AZ20" s="5">
        <v>9985.4699999999993</v>
      </c>
      <c r="BA20" s="5">
        <v>108.96</v>
      </c>
      <c r="BB20" s="5">
        <v>148.88</v>
      </c>
      <c r="BC20" s="5">
        <v>0</v>
      </c>
      <c r="BD20" s="5">
        <v>7187.84</v>
      </c>
      <c r="BE20" s="5">
        <v>126.23</v>
      </c>
      <c r="BF20" s="5">
        <v>0</v>
      </c>
      <c r="BG20" s="5">
        <v>903637.41</v>
      </c>
      <c r="BH20" s="5">
        <v>0</v>
      </c>
      <c r="BI20" s="5">
        <v>0</v>
      </c>
      <c r="BJ20" s="5">
        <v>0</v>
      </c>
      <c r="BK20" s="5">
        <v>7409994.5300000003</v>
      </c>
      <c r="BL20" s="5">
        <v>7409994.5300000003</v>
      </c>
      <c r="BM20" s="5">
        <v>425064.34</v>
      </c>
      <c r="BN20" s="5">
        <v>425064.34</v>
      </c>
      <c r="BO20" s="5">
        <v>0</v>
      </c>
      <c r="BP20" s="5">
        <v>0</v>
      </c>
      <c r="BQ20" s="215"/>
      <c r="BV20" s="5"/>
      <c r="BW20" s="5"/>
      <c r="BX20" s="5"/>
      <c r="BY20" s="5"/>
      <c r="BZ20" s="5"/>
      <c r="CA20" s="5"/>
      <c r="CI20" s="713">
        <v>45565</v>
      </c>
      <c r="CJ20" t="s">
        <v>292</v>
      </c>
      <c r="CK20" t="s">
        <v>913</v>
      </c>
      <c r="CL20" s="5">
        <v>1447505.83</v>
      </c>
      <c r="CM20" s="719">
        <v>304</v>
      </c>
      <c r="CN20" s="5">
        <v>43461667.429999992</v>
      </c>
    </row>
    <row r="21" spans="1:92" x14ac:dyDescent="0.2">
      <c r="A21" s="215">
        <v>45322</v>
      </c>
      <c r="B21" t="s">
        <v>899</v>
      </c>
      <c r="C21" t="s">
        <v>869</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5">
        <v>0</v>
      </c>
      <c r="W21" s="5">
        <v>0</v>
      </c>
      <c r="X21" s="5">
        <v>0</v>
      </c>
      <c r="Y21" s="5">
        <v>0</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0</v>
      </c>
      <c r="BO21" s="5">
        <v>0</v>
      </c>
      <c r="BP21" s="5">
        <v>0</v>
      </c>
      <c r="BQ21" s="215"/>
      <c r="BV21" s="5"/>
      <c r="BW21" s="5"/>
      <c r="BX21" s="5"/>
      <c r="BY21" s="5"/>
      <c r="BZ21" s="5"/>
      <c r="CA21" s="5"/>
      <c r="CI21" s="713">
        <v>45565</v>
      </c>
      <c r="CJ21" t="s">
        <v>293</v>
      </c>
      <c r="CK21" t="s">
        <v>914</v>
      </c>
      <c r="CL21" s="5">
        <v>19473818.349999987</v>
      </c>
      <c r="CM21" s="719">
        <v>710</v>
      </c>
      <c r="CN21" s="5">
        <v>126106129.81000003</v>
      </c>
    </row>
    <row r="22" spans="1:92" x14ac:dyDescent="0.2">
      <c r="A22" s="215">
        <v>45291</v>
      </c>
      <c r="B22" t="s">
        <v>899</v>
      </c>
      <c r="C22" t="s">
        <v>868</v>
      </c>
      <c r="D22" s="5">
        <v>744799789.46000004</v>
      </c>
      <c r="E22" s="5">
        <v>0</v>
      </c>
      <c r="F22" s="5">
        <v>4997383.97</v>
      </c>
      <c r="G22" s="5">
        <v>616128.16</v>
      </c>
      <c r="H22" s="5">
        <v>0</v>
      </c>
      <c r="I22" s="5">
        <v>79.95</v>
      </c>
      <c r="J22" s="5">
        <v>0</v>
      </c>
      <c r="K22" s="5">
        <v>0</v>
      </c>
      <c r="L22" s="5">
        <v>0</v>
      </c>
      <c r="M22" s="5">
        <v>0</v>
      </c>
      <c r="N22" s="5">
        <v>0</v>
      </c>
      <c r="O22" s="5">
        <v>0</v>
      </c>
      <c r="P22" s="5">
        <v>739186357.27999997</v>
      </c>
      <c r="Q22" s="5">
        <v>66580.289999999994</v>
      </c>
      <c r="R22" s="5">
        <v>8602.0499999999993</v>
      </c>
      <c r="S22" s="5">
        <v>0</v>
      </c>
      <c r="T22" s="5">
        <v>85973.3</v>
      </c>
      <c r="U22" s="5">
        <v>9514.19</v>
      </c>
      <c r="V22" s="5">
        <v>0</v>
      </c>
      <c r="W22" s="5">
        <v>60023.95</v>
      </c>
      <c r="X22" s="5">
        <v>7913.99</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92529.64</v>
      </c>
      <c r="AS22" s="5">
        <v>10202.25</v>
      </c>
      <c r="AT22" s="5">
        <v>0</v>
      </c>
      <c r="AU22" s="5">
        <v>4911410.67</v>
      </c>
      <c r="AV22" s="5">
        <v>60023.95</v>
      </c>
      <c r="AW22" s="5">
        <v>616128.16</v>
      </c>
      <c r="AX22" s="5">
        <v>5587562.7800000003</v>
      </c>
      <c r="AY22" s="5">
        <v>890581.77</v>
      </c>
      <c r="AZ22" s="5">
        <v>7913.99</v>
      </c>
      <c r="BA22" s="5">
        <v>51.69</v>
      </c>
      <c r="BB22" s="5">
        <v>73.59</v>
      </c>
      <c r="BC22" s="5">
        <v>0</v>
      </c>
      <c r="BD22" s="5">
        <v>3663.44</v>
      </c>
      <c r="BE22" s="5">
        <v>206.23</v>
      </c>
      <c r="BF22" s="5">
        <v>0</v>
      </c>
      <c r="BG22" s="5">
        <v>902490.71</v>
      </c>
      <c r="BH22" s="5">
        <v>0</v>
      </c>
      <c r="BI22" s="5">
        <v>0</v>
      </c>
      <c r="BJ22" s="5">
        <v>0</v>
      </c>
      <c r="BK22" s="5">
        <v>6490053.4900000002</v>
      </c>
      <c r="BL22" s="5">
        <v>6490053.4900000002</v>
      </c>
      <c r="BM22" s="5">
        <v>433477.01</v>
      </c>
      <c r="BN22" s="5">
        <v>433477.01</v>
      </c>
      <c r="BO22" s="5">
        <v>0</v>
      </c>
      <c r="BP22" s="5">
        <v>0</v>
      </c>
      <c r="BQ22" s="215"/>
      <c r="BV22" s="5"/>
      <c r="BW22" s="5"/>
      <c r="BX22" s="5"/>
      <c r="BY22" s="5"/>
      <c r="BZ22" s="5"/>
      <c r="CA22" s="5"/>
      <c r="CI22" s="713">
        <v>45565</v>
      </c>
      <c r="CJ22" t="s">
        <v>294</v>
      </c>
      <c r="CK22" t="s">
        <v>915</v>
      </c>
      <c r="CL22" s="5">
        <v>51047757.149999954</v>
      </c>
      <c r="CM22" s="719">
        <v>682</v>
      </c>
      <c r="CN22" s="5">
        <v>119980106.69999997</v>
      </c>
    </row>
    <row r="23" spans="1:92" x14ac:dyDescent="0.2">
      <c r="A23" s="215">
        <v>45291</v>
      </c>
      <c r="B23" t="s">
        <v>899</v>
      </c>
      <c r="C23" t="s">
        <v>869</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215"/>
      <c r="BV23" s="5"/>
      <c r="BW23" s="5"/>
      <c r="BX23" s="5"/>
      <c r="BY23" s="5"/>
      <c r="BZ23" s="5"/>
      <c r="CA23" s="5"/>
      <c r="CI23" s="713">
        <v>45565</v>
      </c>
      <c r="CJ23" t="s">
        <v>295</v>
      </c>
      <c r="CK23" t="s">
        <v>916</v>
      </c>
      <c r="CL23" s="5">
        <v>187753577.22999966</v>
      </c>
      <c r="CM23" s="719">
        <v>1150</v>
      </c>
      <c r="CN23" s="5">
        <v>283831529.94</v>
      </c>
    </row>
    <row r="24" spans="1:92" x14ac:dyDescent="0.2">
      <c r="A24" s="215">
        <v>45260</v>
      </c>
      <c r="B24" t="s">
        <v>899</v>
      </c>
      <c r="C24" t="s">
        <v>868</v>
      </c>
      <c r="D24" s="5">
        <v>751085014.37</v>
      </c>
      <c r="E24" s="5">
        <v>0</v>
      </c>
      <c r="F24" s="5">
        <v>4999969.28</v>
      </c>
      <c r="G24" s="5">
        <v>1285255.6299999999</v>
      </c>
      <c r="H24" s="5">
        <v>0</v>
      </c>
      <c r="I24" s="5">
        <v>0</v>
      </c>
      <c r="J24" s="5">
        <v>0</v>
      </c>
      <c r="K24" s="5">
        <v>0</v>
      </c>
      <c r="L24" s="5">
        <v>0</v>
      </c>
      <c r="M24" s="5">
        <v>0</v>
      </c>
      <c r="N24" s="5">
        <v>0</v>
      </c>
      <c r="O24" s="5">
        <v>0</v>
      </c>
      <c r="P24" s="5">
        <v>744799789.46000004</v>
      </c>
      <c r="Q24" s="5">
        <v>0</v>
      </c>
      <c r="R24" s="5">
        <v>0</v>
      </c>
      <c r="S24" s="5">
        <v>0</v>
      </c>
      <c r="T24" s="5">
        <v>66580.289999999994</v>
      </c>
      <c r="U24" s="5">
        <v>8602.0499999999993</v>
      </c>
      <c r="V24" s="5">
        <v>0</v>
      </c>
      <c r="W24" s="5">
        <v>0</v>
      </c>
      <c r="X24" s="5">
        <v>0</v>
      </c>
      <c r="Y24" s="5">
        <v>0</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0</v>
      </c>
      <c r="AQ24" s="5">
        <v>0</v>
      </c>
      <c r="AR24" s="5">
        <v>66580.289999999994</v>
      </c>
      <c r="AS24" s="5">
        <v>8602.0499999999993</v>
      </c>
      <c r="AT24" s="5">
        <v>0</v>
      </c>
      <c r="AU24" s="5">
        <v>4933388.99</v>
      </c>
      <c r="AV24" s="5">
        <v>0</v>
      </c>
      <c r="AW24" s="5">
        <v>1285255.6299999999</v>
      </c>
      <c r="AX24" s="5">
        <v>6218644.6200000001</v>
      </c>
      <c r="AY24" s="5">
        <v>893922.74</v>
      </c>
      <c r="AZ24" s="5">
        <v>0</v>
      </c>
      <c r="BA24" s="5">
        <v>0</v>
      </c>
      <c r="BB24" s="5">
        <v>0</v>
      </c>
      <c r="BC24" s="5">
        <v>0</v>
      </c>
      <c r="BD24" s="5">
        <v>8208.68</v>
      </c>
      <c r="BE24" s="5">
        <v>349.35</v>
      </c>
      <c r="BF24" s="5">
        <v>0</v>
      </c>
      <c r="BG24" s="5">
        <v>902480.77</v>
      </c>
      <c r="BH24" s="5">
        <v>0</v>
      </c>
      <c r="BI24" s="5">
        <v>0</v>
      </c>
      <c r="BJ24" s="5">
        <v>0</v>
      </c>
      <c r="BK24" s="5">
        <v>7121125.3899999997</v>
      </c>
      <c r="BL24" s="5">
        <v>7121125.3899999997</v>
      </c>
      <c r="BM24" s="5">
        <v>418685.79</v>
      </c>
      <c r="BN24" s="5">
        <v>418685.79</v>
      </c>
      <c r="BO24" s="5">
        <v>0</v>
      </c>
      <c r="BP24" s="5">
        <v>0</v>
      </c>
      <c r="BQ24" s="215"/>
      <c r="BV24" s="5"/>
      <c r="BW24" s="5"/>
      <c r="BX24" s="5"/>
      <c r="BY24" s="5"/>
      <c r="BZ24" s="5"/>
      <c r="CA24" s="5"/>
      <c r="CI24" s="713">
        <v>45565</v>
      </c>
      <c r="CJ24" t="s">
        <v>296</v>
      </c>
      <c r="CK24" t="s">
        <v>917</v>
      </c>
      <c r="CL24" s="5">
        <v>166081641.0099999</v>
      </c>
      <c r="CM24" s="719">
        <v>485</v>
      </c>
      <c r="CN24" s="5">
        <v>215736739.98999998</v>
      </c>
    </row>
    <row r="25" spans="1:92" x14ac:dyDescent="0.2">
      <c r="A25" s="215">
        <v>45260</v>
      </c>
      <c r="B25" t="s">
        <v>899</v>
      </c>
      <c r="C25" t="s">
        <v>869</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215"/>
      <c r="BV25" s="5"/>
      <c r="BW25" s="5"/>
      <c r="BX25" s="5"/>
      <c r="BY25" s="5"/>
      <c r="BZ25" s="5"/>
      <c r="CA25" s="5"/>
      <c r="CI25" s="713">
        <v>45565</v>
      </c>
      <c r="CJ25" t="s">
        <v>297</v>
      </c>
      <c r="CK25" t="s">
        <v>918</v>
      </c>
      <c r="CL25" s="5">
        <v>138798173.97</v>
      </c>
      <c r="CM25" s="719">
        <v>203</v>
      </c>
      <c r="CN25" s="5">
        <v>171493885.85999998</v>
      </c>
    </row>
    <row r="26" spans="1:92" x14ac:dyDescent="0.2">
      <c r="A26" s="215">
        <v>45230</v>
      </c>
      <c r="B26" t="s">
        <v>899</v>
      </c>
      <c r="C26" t="s">
        <v>868</v>
      </c>
      <c r="D26" s="5">
        <v>0</v>
      </c>
      <c r="E26" s="5">
        <v>751085014.37</v>
      </c>
      <c r="F26" s="5">
        <v>0</v>
      </c>
      <c r="G26" s="5">
        <v>0</v>
      </c>
      <c r="H26" s="5">
        <v>0</v>
      </c>
      <c r="I26" s="5">
        <v>0</v>
      </c>
      <c r="J26" s="5">
        <v>0</v>
      </c>
      <c r="K26" s="5">
        <v>0</v>
      </c>
      <c r="L26" s="5">
        <v>0</v>
      </c>
      <c r="M26" s="5">
        <v>0</v>
      </c>
      <c r="N26" s="5">
        <v>0</v>
      </c>
      <c r="O26" s="5">
        <v>0</v>
      </c>
      <c r="P26" s="5">
        <v>751085014.37</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474668.81</v>
      </c>
      <c r="BN26" s="5">
        <v>474668.81</v>
      </c>
      <c r="BO26" s="5">
        <v>0</v>
      </c>
      <c r="BP26" s="5">
        <v>0</v>
      </c>
      <c r="BQ26" s="215"/>
      <c r="BV26" s="5"/>
      <c r="BW26" s="5"/>
      <c r="BX26" s="5"/>
      <c r="BY26" s="5"/>
      <c r="BZ26" s="5"/>
      <c r="CA26" s="5"/>
      <c r="CI26" s="713">
        <v>45565</v>
      </c>
      <c r="CJ26" t="s">
        <v>298</v>
      </c>
      <c r="CK26" t="s">
        <v>919</v>
      </c>
      <c r="CL26" s="5">
        <v>87029906.360000014</v>
      </c>
      <c r="CM26" s="719">
        <v>64</v>
      </c>
      <c r="CN26" s="5">
        <v>99888187.140000001</v>
      </c>
    </row>
    <row r="27" spans="1:92" x14ac:dyDescent="0.2">
      <c r="A27" s="215">
        <v>45230</v>
      </c>
      <c r="B27" t="s">
        <v>899</v>
      </c>
      <c r="C27" t="s">
        <v>869</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215"/>
      <c r="BV27" s="5"/>
      <c r="BW27" s="5"/>
      <c r="BX27" s="5"/>
      <c r="BY27" s="5"/>
      <c r="BZ27" s="5"/>
      <c r="CA27" s="5"/>
      <c r="CI27" s="713">
        <v>45565</v>
      </c>
      <c r="CJ27" t="s">
        <v>299</v>
      </c>
      <c r="CK27" t="s">
        <v>920</v>
      </c>
      <c r="CL27" s="5">
        <v>31334196.079999998</v>
      </c>
      <c r="CM27" s="719">
        <v>11</v>
      </c>
      <c r="CN27" s="5">
        <v>39105000</v>
      </c>
    </row>
    <row r="28" spans="1:92" x14ac:dyDescent="0.2">
      <c r="BM28" s="5"/>
      <c r="BQ28" s="215"/>
      <c r="BV28" s="5"/>
      <c r="BW28" s="5"/>
      <c r="BX28" s="5"/>
      <c r="BY28" s="5"/>
      <c r="BZ28" s="5"/>
      <c r="CA28" s="5"/>
      <c r="CI28" s="713">
        <v>45565</v>
      </c>
      <c r="CJ28" t="s">
        <v>302</v>
      </c>
      <c r="CK28" t="s">
        <v>913</v>
      </c>
      <c r="CL28" s="5">
        <v>0</v>
      </c>
      <c r="CM28" s="719">
        <v>0</v>
      </c>
      <c r="CN28" s="5">
        <v>0</v>
      </c>
    </row>
    <row r="29" spans="1:92" x14ac:dyDescent="0.2">
      <c r="BM29" s="5"/>
      <c r="BQ29" s="215"/>
      <c r="BV29" s="5"/>
      <c r="BW29" s="5"/>
      <c r="BX29" s="5"/>
      <c r="BY29" s="5"/>
      <c r="BZ29" s="5"/>
      <c r="CA29" s="5"/>
      <c r="CI29" s="713">
        <v>45565</v>
      </c>
      <c r="CJ29" t="s">
        <v>303</v>
      </c>
      <c r="CK29" t="s">
        <v>914</v>
      </c>
      <c r="CL29" s="5">
        <v>991761</v>
      </c>
      <c r="CM29" s="719">
        <v>76</v>
      </c>
      <c r="CN29" s="5">
        <v>3060895.79</v>
      </c>
    </row>
    <row r="30" spans="1:92" x14ac:dyDescent="0.2">
      <c r="BM30" s="5"/>
      <c r="BQ30" s="215"/>
      <c r="BV30" s="5"/>
      <c r="BW30" s="5"/>
      <c r="BX30" s="5"/>
      <c r="BY30" s="5"/>
      <c r="BZ30" s="5"/>
      <c r="CA30" s="5"/>
      <c r="CI30" s="713">
        <v>45565</v>
      </c>
      <c r="CJ30" t="s">
        <v>304</v>
      </c>
      <c r="CK30" t="s">
        <v>915</v>
      </c>
      <c r="CL30" s="5">
        <v>12780322.799999995</v>
      </c>
      <c r="CM30" s="719">
        <v>339</v>
      </c>
      <c r="CN30" s="5">
        <v>28318305.539999999</v>
      </c>
    </row>
    <row r="31" spans="1:92" x14ac:dyDescent="0.2">
      <c r="BM31" s="5"/>
      <c r="BQ31" s="215"/>
      <c r="BV31" s="5"/>
      <c r="BW31" s="5"/>
      <c r="BX31" s="5"/>
      <c r="BY31" s="5"/>
      <c r="BZ31" s="5"/>
      <c r="CA31" s="5"/>
      <c r="CI31" s="713">
        <v>45565</v>
      </c>
      <c r="CJ31" t="s">
        <v>305</v>
      </c>
      <c r="CK31" t="s">
        <v>916</v>
      </c>
      <c r="CL31" s="5">
        <v>158345817.14000008</v>
      </c>
      <c r="CM31" s="719">
        <v>1739</v>
      </c>
      <c r="CN31" s="5">
        <v>306889561.79000002</v>
      </c>
    </row>
    <row r="32" spans="1:92" x14ac:dyDescent="0.2">
      <c r="BM32" s="5"/>
      <c r="BQ32" s="215"/>
      <c r="BV32" s="5"/>
      <c r="BW32" s="5"/>
      <c r="BX32" s="5"/>
      <c r="BY32" s="5"/>
      <c r="BZ32" s="5"/>
      <c r="CA32" s="5"/>
      <c r="CI32" s="713">
        <v>45565</v>
      </c>
      <c r="CJ32" t="s">
        <v>306</v>
      </c>
      <c r="CK32" t="s">
        <v>917</v>
      </c>
      <c r="CL32" s="5">
        <v>204622808.72999987</v>
      </c>
      <c r="CM32" s="719">
        <v>1028</v>
      </c>
      <c r="CN32" s="5">
        <v>352084678.62999988</v>
      </c>
    </row>
    <row r="33" spans="65:92" x14ac:dyDescent="0.2">
      <c r="BM33" s="5"/>
      <c r="BQ33" s="215"/>
      <c r="BV33" s="5"/>
      <c r="BW33" s="5"/>
      <c r="BX33" s="5"/>
      <c r="BY33" s="5"/>
      <c r="BZ33" s="5"/>
      <c r="CA33" s="5"/>
      <c r="CI33" s="713">
        <v>45565</v>
      </c>
      <c r="CJ33" t="s">
        <v>307</v>
      </c>
      <c r="CK33" t="s">
        <v>918</v>
      </c>
      <c r="CL33" s="5">
        <v>155259466.78</v>
      </c>
      <c r="CM33" s="719">
        <v>308</v>
      </c>
      <c r="CN33" s="5">
        <v>213298050.31999996</v>
      </c>
    </row>
    <row r="34" spans="65:92" x14ac:dyDescent="0.2">
      <c r="BM34" s="5"/>
      <c r="BQ34" s="215"/>
      <c r="BV34" s="5"/>
      <c r="BW34" s="5"/>
      <c r="BX34" s="5"/>
      <c r="BY34" s="5"/>
      <c r="BZ34" s="5"/>
      <c r="CA34" s="5"/>
      <c r="CI34" s="713">
        <v>45565</v>
      </c>
      <c r="CJ34" t="s">
        <v>308</v>
      </c>
      <c r="CK34" t="s">
        <v>919</v>
      </c>
      <c r="CL34" s="5">
        <v>106855243.64000003</v>
      </c>
      <c r="CM34" s="719">
        <v>99</v>
      </c>
      <c r="CN34" s="5">
        <v>136794754.80000001</v>
      </c>
    </row>
    <row r="35" spans="65:92" x14ac:dyDescent="0.2">
      <c r="BM35" s="5"/>
      <c r="BQ35" s="215"/>
      <c r="BV35" s="5"/>
      <c r="BW35" s="5"/>
      <c r="BX35" s="5"/>
      <c r="BY35" s="5"/>
      <c r="BZ35" s="5"/>
      <c r="CA35" s="5"/>
      <c r="CI35" s="713">
        <v>45565</v>
      </c>
      <c r="CJ35" t="s">
        <v>309</v>
      </c>
      <c r="CK35" t="s">
        <v>920</v>
      </c>
      <c r="CL35" s="5">
        <v>44111155.890000001</v>
      </c>
      <c r="CM35" s="719">
        <v>20</v>
      </c>
      <c r="CN35" s="5">
        <v>59157000</v>
      </c>
    </row>
    <row r="36" spans="65:92" x14ac:dyDescent="0.2">
      <c r="BM36" s="5"/>
      <c r="BQ36" s="215"/>
      <c r="BV36" s="5"/>
      <c r="BW36" s="5"/>
      <c r="BX36" s="5"/>
      <c r="BY36" s="5"/>
      <c r="BZ36" s="5"/>
      <c r="CA36" s="5"/>
      <c r="CI36" s="713">
        <v>45565</v>
      </c>
      <c r="CJ36" t="s">
        <v>312</v>
      </c>
      <c r="CK36" t="s">
        <v>921</v>
      </c>
      <c r="CL36" s="5">
        <v>10307876.199999999</v>
      </c>
      <c r="CM36" s="719">
        <v>43</v>
      </c>
      <c r="CN36" s="5">
        <v>12033568</v>
      </c>
    </row>
    <row r="37" spans="65:92" x14ac:dyDescent="0.2">
      <c r="BM37" s="5"/>
      <c r="BQ37" s="215"/>
      <c r="BV37" s="5"/>
      <c r="BW37" s="5"/>
      <c r="BX37" s="5"/>
      <c r="BY37" s="5"/>
      <c r="BZ37" s="5"/>
      <c r="CA37" s="5"/>
      <c r="CI37" s="713">
        <v>45565</v>
      </c>
      <c r="CJ37" t="s">
        <v>313</v>
      </c>
      <c r="CK37" t="s">
        <v>922</v>
      </c>
      <c r="CL37" s="5">
        <v>460504317.89000005</v>
      </c>
      <c r="CM37" s="719">
        <v>1413</v>
      </c>
      <c r="CN37" s="5">
        <v>548265905.73000002</v>
      </c>
    </row>
    <row r="38" spans="65:92" x14ac:dyDescent="0.2">
      <c r="BM38" s="5"/>
      <c r="BQ38" s="215"/>
      <c r="BV38" s="5"/>
      <c r="BW38" s="5"/>
      <c r="BX38" s="5"/>
      <c r="BY38" s="5"/>
      <c r="BZ38" s="5"/>
      <c r="CA38" s="5"/>
      <c r="CI38" s="713">
        <v>45565</v>
      </c>
      <c r="CJ38" t="s">
        <v>314</v>
      </c>
      <c r="CK38" t="s">
        <v>923</v>
      </c>
      <c r="CL38" s="5">
        <v>131535338.91</v>
      </c>
      <c r="CM38" s="719">
        <v>775</v>
      </c>
      <c r="CN38" s="5">
        <v>224842622.19999996</v>
      </c>
    </row>
    <row r="39" spans="65:92" x14ac:dyDescent="0.2">
      <c r="BM39" s="5"/>
      <c r="BQ39" s="215"/>
      <c r="BV39" s="5"/>
      <c r="BW39" s="5"/>
      <c r="BX39" s="5"/>
      <c r="BY39" s="5"/>
      <c r="BZ39" s="5"/>
      <c r="CA39" s="5"/>
      <c r="CI39" s="713">
        <v>45565</v>
      </c>
      <c r="CJ39" t="s">
        <v>315</v>
      </c>
      <c r="CK39" t="s">
        <v>924</v>
      </c>
      <c r="CL39" s="5">
        <v>42894219.180000037</v>
      </c>
      <c r="CM39" s="717">
        <v>505</v>
      </c>
      <c r="CN39" s="5">
        <v>126065610.20999998</v>
      </c>
    </row>
    <row r="40" spans="65:92" x14ac:dyDescent="0.2">
      <c r="BM40" s="5"/>
      <c r="BQ40" s="215"/>
      <c r="BV40" s="5"/>
      <c r="BW40" s="5"/>
      <c r="BX40" s="5"/>
      <c r="BY40" s="5"/>
      <c r="BZ40" s="5"/>
      <c r="CA40" s="5"/>
      <c r="CI40" s="713">
        <v>45565</v>
      </c>
      <c r="CJ40" t="s">
        <v>316</v>
      </c>
      <c r="CK40" t="s">
        <v>925</v>
      </c>
      <c r="CL40" s="5">
        <v>37695809.900000013</v>
      </c>
      <c r="CM40" s="717">
        <v>870</v>
      </c>
      <c r="CN40" s="5">
        <v>188042211.26999995</v>
      </c>
    </row>
    <row r="41" spans="65:92" x14ac:dyDescent="0.2">
      <c r="BM41" s="5"/>
      <c r="BQ41" s="215"/>
      <c r="BV41" s="5"/>
      <c r="BW41" s="5"/>
      <c r="BX41" s="5"/>
      <c r="BY41" s="5"/>
      <c r="BZ41" s="5"/>
      <c r="CA41" s="5"/>
      <c r="CI41" s="713">
        <v>45565</v>
      </c>
      <c r="CJ41" t="s">
        <v>317</v>
      </c>
      <c r="CK41" t="s">
        <v>926</v>
      </c>
      <c r="CL41" s="5">
        <v>29013.9</v>
      </c>
      <c r="CM41" s="717">
        <v>3</v>
      </c>
      <c r="CN41" s="5">
        <v>353329.46</v>
      </c>
    </row>
    <row r="42" spans="65:92" x14ac:dyDescent="0.2">
      <c r="BM42" s="5"/>
      <c r="BQ42" s="215"/>
      <c r="BV42" s="5"/>
      <c r="BW42" s="5"/>
      <c r="BX42" s="5"/>
      <c r="BY42" s="5"/>
      <c r="BZ42" s="5"/>
      <c r="CA42" s="5"/>
      <c r="CI42" s="713">
        <v>45565</v>
      </c>
      <c r="CJ42" t="s">
        <v>320</v>
      </c>
      <c r="CK42" t="s">
        <v>921</v>
      </c>
      <c r="CL42" s="5">
        <v>5490600.9899999956</v>
      </c>
      <c r="CM42" s="717">
        <v>354</v>
      </c>
      <c r="CN42" s="5">
        <v>70029896.710000023</v>
      </c>
    </row>
    <row r="43" spans="65:92" x14ac:dyDescent="0.2">
      <c r="BM43" s="5"/>
      <c r="BQ43" s="215"/>
      <c r="BV43" s="5"/>
      <c r="BW43" s="5"/>
      <c r="BX43" s="5"/>
      <c r="BY43" s="5"/>
      <c r="BZ43" s="5"/>
      <c r="CA43" s="5"/>
      <c r="CI43" s="713">
        <v>45565</v>
      </c>
      <c r="CJ43" t="s">
        <v>321</v>
      </c>
      <c r="CK43" t="s">
        <v>922</v>
      </c>
      <c r="CL43" s="5">
        <v>38534519.530000009</v>
      </c>
      <c r="CM43" s="717">
        <v>740</v>
      </c>
      <c r="CN43" s="5">
        <v>164982380.15999991</v>
      </c>
    </row>
    <row r="44" spans="65:92" x14ac:dyDescent="0.2">
      <c r="BM44" s="5"/>
      <c r="BQ44" s="215"/>
      <c r="BV44" s="5"/>
      <c r="BW44" s="5"/>
      <c r="BX44" s="5"/>
      <c r="BY44" s="5"/>
      <c r="BZ44" s="5"/>
      <c r="CA44" s="5"/>
      <c r="CI44" s="713">
        <v>45565</v>
      </c>
      <c r="CJ44" t="s">
        <v>322</v>
      </c>
      <c r="CK44" t="s">
        <v>923</v>
      </c>
      <c r="CL44" s="5">
        <v>110391235.67999995</v>
      </c>
      <c r="CM44" s="717">
        <v>854</v>
      </c>
      <c r="CN44" s="5">
        <v>215247545.33999997</v>
      </c>
    </row>
    <row r="45" spans="65:92" x14ac:dyDescent="0.2">
      <c r="BM45" s="5"/>
      <c r="BQ45" s="215"/>
      <c r="BV45" s="5"/>
      <c r="BW45" s="5"/>
      <c r="BX45" s="5"/>
      <c r="BY45" s="5"/>
      <c r="BZ45" s="5"/>
      <c r="CA45" s="5"/>
      <c r="CI45" s="713">
        <v>45565</v>
      </c>
      <c r="CJ45" t="s">
        <v>323</v>
      </c>
      <c r="CK45" t="s">
        <v>924</v>
      </c>
      <c r="CL45" s="5">
        <v>162233062.71999988</v>
      </c>
      <c r="CM45" s="717">
        <v>663</v>
      </c>
      <c r="CN45" s="5">
        <v>217664780.00000003</v>
      </c>
    </row>
    <row r="46" spans="65:92" x14ac:dyDescent="0.2">
      <c r="BM46" s="5"/>
      <c r="BQ46" s="215"/>
      <c r="BV46" s="5"/>
      <c r="BW46" s="5"/>
      <c r="BX46" s="5"/>
      <c r="BY46" s="5"/>
      <c r="BZ46" s="5"/>
      <c r="CA46" s="5"/>
      <c r="CI46" s="713">
        <v>45565</v>
      </c>
      <c r="CJ46" t="s">
        <v>324</v>
      </c>
      <c r="CK46" t="s">
        <v>925</v>
      </c>
      <c r="CL46" s="5">
        <v>253683880.92999986</v>
      </c>
      <c r="CM46" s="717">
        <v>783</v>
      </c>
      <c r="CN46" s="5">
        <v>300035406.71000004</v>
      </c>
    </row>
    <row r="47" spans="65:92" x14ac:dyDescent="0.2">
      <c r="BM47" s="5"/>
      <c r="BQ47" s="215"/>
      <c r="BV47" s="5"/>
      <c r="BW47" s="5"/>
      <c r="BX47" s="5"/>
      <c r="BY47" s="5"/>
      <c r="BZ47" s="5"/>
      <c r="CA47" s="5"/>
      <c r="CI47" s="713">
        <v>45565</v>
      </c>
      <c r="CJ47" t="s">
        <v>325</v>
      </c>
      <c r="CK47" t="s">
        <v>926</v>
      </c>
      <c r="CL47" s="5">
        <v>112633276.13000003</v>
      </c>
      <c r="CM47" s="717">
        <v>215</v>
      </c>
      <c r="CN47" s="5">
        <v>131643237.95</v>
      </c>
    </row>
    <row r="48" spans="65:92" x14ac:dyDescent="0.2">
      <c r="BM48" s="5"/>
      <c r="BQ48" s="215"/>
      <c r="BV48" s="5"/>
      <c r="BW48" s="5"/>
      <c r="BX48" s="5"/>
      <c r="BY48" s="5"/>
      <c r="BZ48" s="5"/>
      <c r="CA48" s="5"/>
      <c r="CI48" s="713">
        <v>45565</v>
      </c>
      <c r="CJ48" t="s">
        <v>327</v>
      </c>
      <c r="CK48" t="s">
        <v>921</v>
      </c>
      <c r="CL48" s="5">
        <v>0</v>
      </c>
      <c r="CM48" s="717">
        <v>0</v>
      </c>
      <c r="CN48" s="5">
        <v>0</v>
      </c>
    </row>
    <row r="49" spans="65:92" x14ac:dyDescent="0.2">
      <c r="BM49" s="5"/>
      <c r="BQ49" s="215"/>
      <c r="BV49" s="5"/>
      <c r="BW49" s="5"/>
      <c r="BX49" s="5"/>
      <c r="BY49" s="5"/>
      <c r="BZ49" s="5"/>
      <c r="CA49" s="5"/>
      <c r="CI49" s="713">
        <v>45565</v>
      </c>
      <c r="CJ49" t="s">
        <v>328</v>
      </c>
      <c r="CK49" t="s">
        <v>922</v>
      </c>
      <c r="CL49" s="5">
        <v>724628.04</v>
      </c>
      <c r="CM49" s="717">
        <v>3</v>
      </c>
      <c r="CN49" s="5">
        <v>933183</v>
      </c>
    </row>
    <row r="50" spans="65:92" x14ac:dyDescent="0.2">
      <c r="BM50" s="5"/>
      <c r="BQ50" s="215"/>
      <c r="BV50" s="5"/>
      <c r="BW50" s="5"/>
      <c r="BX50" s="5"/>
      <c r="BY50" s="5"/>
      <c r="BZ50" s="5"/>
      <c r="CA50" s="5"/>
      <c r="CI50" s="713">
        <v>45565</v>
      </c>
      <c r="CJ50" t="s">
        <v>329</v>
      </c>
      <c r="CK50" t="s">
        <v>923</v>
      </c>
      <c r="CL50" s="5">
        <v>28166843.879999995</v>
      </c>
      <c r="CM50" s="717">
        <v>252</v>
      </c>
      <c r="CN50" s="5">
        <v>53605944.18</v>
      </c>
    </row>
    <row r="51" spans="65:92" x14ac:dyDescent="0.2">
      <c r="BM51" s="5"/>
      <c r="BQ51" s="215"/>
      <c r="BV51" s="5"/>
      <c r="BW51" s="5"/>
      <c r="BX51" s="5"/>
      <c r="BY51" s="5"/>
      <c r="BZ51" s="5"/>
      <c r="CA51" s="5"/>
      <c r="CI51" s="713">
        <v>45565</v>
      </c>
      <c r="CJ51" t="s">
        <v>330</v>
      </c>
      <c r="CK51" t="s">
        <v>924</v>
      </c>
      <c r="CL51" s="5">
        <v>115302802.45999996</v>
      </c>
      <c r="CM51" s="717">
        <v>684</v>
      </c>
      <c r="CN51" s="5">
        <v>189902577.24000001</v>
      </c>
    </row>
    <row r="52" spans="65:92" x14ac:dyDescent="0.2">
      <c r="BM52" s="5"/>
      <c r="BQ52" s="215"/>
      <c r="BV52" s="5"/>
      <c r="BW52" s="5"/>
      <c r="BX52" s="5"/>
      <c r="BY52" s="5"/>
      <c r="BZ52" s="5"/>
      <c r="CA52" s="5"/>
      <c r="CI52" s="713">
        <v>45565</v>
      </c>
      <c r="CJ52" t="s">
        <v>331</v>
      </c>
      <c r="CK52" t="s">
        <v>925</v>
      </c>
      <c r="CL52" s="5">
        <v>310718213.41000026</v>
      </c>
      <c r="CM52" s="717">
        <v>1610</v>
      </c>
      <c r="CN52" s="5">
        <v>489142751.1500001</v>
      </c>
    </row>
    <row r="53" spans="65:92" x14ac:dyDescent="0.2">
      <c r="BM53" s="5"/>
      <c r="BQ53" s="215"/>
      <c r="BV53" s="5"/>
      <c r="BW53" s="5"/>
      <c r="BX53" s="5"/>
      <c r="BY53" s="5"/>
      <c r="BZ53" s="5"/>
      <c r="CA53" s="5"/>
      <c r="CI53" s="713">
        <v>45565</v>
      </c>
      <c r="CJ53" t="s">
        <v>332</v>
      </c>
      <c r="CK53" t="s">
        <v>927</v>
      </c>
      <c r="CL53" s="5">
        <v>193169936.03000006</v>
      </c>
      <c r="CM53" s="717">
        <v>939</v>
      </c>
      <c r="CN53" s="5">
        <v>315497428.16000009</v>
      </c>
    </row>
    <row r="54" spans="65:92" x14ac:dyDescent="0.2">
      <c r="BM54" s="5"/>
      <c r="BQ54" s="215"/>
      <c r="BV54" s="5"/>
      <c r="BW54" s="5"/>
      <c r="BX54" s="5"/>
      <c r="BY54" s="5"/>
      <c r="BZ54" s="5"/>
      <c r="CA54" s="5"/>
      <c r="CI54" s="713">
        <v>45565</v>
      </c>
      <c r="CJ54" t="s">
        <v>333</v>
      </c>
      <c r="CK54" t="s">
        <v>928</v>
      </c>
      <c r="CL54" s="5">
        <v>34884152.160000019</v>
      </c>
      <c r="CM54" s="717">
        <v>121</v>
      </c>
      <c r="CN54" s="5">
        <v>50521363.139999993</v>
      </c>
    </row>
    <row r="55" spans="65:92" x14ac:dyDescent="0.2">
      <c r="BM55" s="5"/>
      <c r="BQ55" s="215"/>
      <c r="BV55" s="5"/>
      <c r="BW55" s="5"/>
      <c r="BX55" s="5"/>
      <c r="BY55" s="5"/>
      <c r="BZ55" s="5"/>
      <c r="CA55" s="5"/>
      <c r="CI55" s="713">
        <v>45565</v>
      </c>
      <c r="CJ55" t="s">
        <v>335</v>
      </c>
      <c r="CK55">
        <v>2003</v>
      </c>
      <c r="CL55" s="5">
        <v>0</v>
      </c>
      <c r="CM55" s="717">
        <v>0</v>
      </c>
      <c r="CN55" s="5">
        <v>0</v>
      </c>
    </row>
    <row r="56" spans="65:92" x14ac:dyDescent="0.2">
      <c r="BM56" s="5"/>
      <c r="BQ56" s="215"/>
      <c r="BV56" s="5"/>
      <c r="BW56" s="5"/>
      <c r="BX56" s="5"/>
      <c r="BY56" s="5"/>
      <c r="BZ56" s="5"/>
      <c r="CA56" s="5"/>
      <c r="CI56" s="713">
        <v>45565</v>
      </c>
      <c r="CJ56" t="s">
        <v>336</v>
      </c>
      <c r="CK56">
        <v>2004</v>
      </c>
      <c r="CL56" s="5">
        <v>92229.540000000008</v>
      </c>
      <c r="CM56" s="717">
        <v>25</v>
      </c>
      <c r="CN56" s="5">
        <v>4055466.1500000004</v>
      </c>
    </row>
    <row r="57" spans="65:92" x14ac:dyDescent="0.2">
      <c r="BM57" s="5"/>
      <c r="BQ57" s="215"/>
      <c r="BV57" s="5"/>
      <c r="BW57" s="5"/>
      <c r="BX57" s="5"/>
      <c r="BY57" s="5"/>
      <c r="BZ57" s="5"/>
      <c r="CA57" s="5"/>
      <c r="CI57" s="713">
        <v>45565</v>
      </c>
      <c r="CJ57" t="s">
        <v>337</v>
      </c>
      <c r="CK57">
        <v>2005</v>
      </c>
      <c r="CL57" s="5">
        <v>5026974.4200000009</v>
      </c>
      <c r="CM57" s="717">
        <v>296</v>
      </c>
      <c r="CN57" s="5">
        <v>61041330.76000002</v>
      </c>
    </row>
    <row r="58" spans="65:92" x14ac:dyDescent="0.2">
      <c r="BM58" s="5"/>
      <c r="BQ58" s="215"/>
      <c r="BV58" s="5"/>
      <c r="BW58" s="5"/>
      <c r="BX58" s="5"/>
      <c r="BY58" s="5"/>
      <c r="BZ58" s="5"/>
      <c r="CA58" s="5"/>
      <c r="CI58" s="713">
        <v>45565</v>
      </c>
      <c r="CJ58" t="s">
        <v>338</v>
      </c>
      <c r="CK58">
        <v>2006</v>
      </c>
      <c r="CL58" s="5">
        <v>5514578.0799999991</v>
      </c>
      <c r="CM58" s="717">
        <v>164</v>
      </c>
      <c r="CN58" s="5">
        <v>32874129.290000003</v>
      </c>
    </row>
    <row r="59" spans="65:92" x14ac:dyDescent="0.2">
      <c r="BM59" s="5"/>
      <c r="BQ59" s="215"/>
      <c r="BV59" s="5"/>
      <c r="BW59" s="5"/>
      <c r="BX59" s="5"/>
      <c r="BY59" s="5"/>
      <c r="BZ59" s="5"/>
      <c r="CA59" s="5"/>
      <c r="CI59" s="713">
        <v>45565</v>
      </c>
      <c r="CJ59" t="s">
        <v>339</v>
      </c>
      <c r="CK59">
        <v>2007</v>
      </c>
      <c r="CL59" s="5">
        <v>7935990.6299999999</v>
      </c>
      <c r="CM59" s="717">
        <v>146</v>
      </c>
      <c r="CN59" s="5">
        <v>30888271.670000002</v>
      </c>
    </row>
    <row r="60" spans="65:92" x14ac:dyDescent="0.2">
      <c r="BM60" s="5"/>
      <c r="BQ60" s="215"/>
      <c r="BV60" s="5"/>
      <c r="BW60" s="5"/>
      <c r="BX60" s="5"/>
      <c r="BY60" s="5"/>
      <c r="BZ60" s="5"/>
      <c r="CA60" s="5"/>
      <c r="CI60" s="713">
        <v>45565</v>
      </c>
      <c r="CJ60" t="s">
        <v>340</v>
      </c>
      <c r="CK60">
        <v>2008</v>
      </c>
      <c r="CL60" s="5">
        <v>7357889.0700000012</v>
      </c>
      <c r="CM60" s="717">
        <v>114</v>
      </c>
      <c r="CN60" s="5">
        <v>25191140.899999999</v>
      </c>
    </row>
    <row r="61" spans="65:92" x14ac:dyDescent="0.2">
      <c r="BM61" s="5"/>
      <c r="BQ61" s="215"/>
      <c r="BV61" s="5"/>
      <c r="BW61" s="5"/>
      <c r="BX61" s="5"/>
      <c r="BY61" s="5"/>
      <c r="BZ61" s="5"/>
      <c r="CA61" s="5"/>
      <c r="CI61" s="713">
        <v>45565</v>
      </c>
      <c r="CJ61" t="s">
        <v>341</v>
      </c>
      <c r="CK61">
        <v>2009</v>
      </c>
      <c r="CL61" s="5">
        <v>27763483.610000003</v>
      </c>
      <c r="CM61" s="717">
        <v>281</v>
      </c>
      <c r="CN61" s="5">
        <v>77179938.399999961</v>
      </c>
    </row>
    <row r="62" spans="65:92" x14ac:dyDescent="0.2">
      <c r="BM62" s="5"/>
      <c r="BQ62" s="215"/>
      <c r="BV62" s="5"/>
      <c r="BW62" s="5"/>
      <c r="BX62" s="5"/>
      <c r="BY62" s="5"/>
      <c r="BZ62" s="5"/>
      <c r="CA62" s="5"/>
      <c r="CI62" s="713">
        <v>45565</v>
      </c>
      <c r="CJ62" t="s">
        <v>342</v>
      </c>
      <c r="CK62">
        <v>2010</v>
      </c>
      <c r="CL62" s="5">
        <v>14951204.560000008</v>
      </c>
      <c r="CM62" s="717">
        <v>188</v>
      </c>
      <c r="CN62" s="5">
        <v>49450969.270000003</v>
      </c>
    </row>
    <row r="63" spans="65:92" x14ac:dyDescent="0.2">
      <c r="BM63" s="5"/>
      <c r="BQ63" s="215"/>
      <c r="BV63" s="5"/>
      <c r="BW63" s="5"/>
      <c r="BX63" s="5"/>
      <c r="BY63" s="5"/>
      <c r="BZ63" s="5"/>
      <c r="CA63" s="5"/>
      <c r="CI63" s="713">
        <v>45565</v>
      </c>
      <c r="CJ63" t="s">
        <v>343</v>
      </c>
      <c r="CK63">
        <v>2011</v>
      </c>
      <c r="CL63" s="5">
        <v>5709297.6099999994</v>
      </c>
      <c r="CM63" s="717">
        <v>81</v>
      </c>
      <c r="CN63" s="5">
        <v>18055656.620000001</v>
      </c>
    </row>
    <row r="64" spans="65:92" x14ac:dyDescent="0.2">
      <c r="BM64" s="5"/>
      <c r="BQ64" s="215"/>
      <c r="BV64" s="5"/>
      <c r="BW64" s="5"/>
      <c r="BX64" s="5"/>
      <c r="BY64" s="5"/>
      <c r="BZ64" s="5"/>
      <c r="CA64" s="5"/>
      <c r="CI64" s="713">
        <v>45565</v>
      </c>
      <c r="CJ64" t="s">
        <v>344</v>
      </c>
      <c r="CK64">
        <v>2012</v>
      </c>
      <c r="CL64" s="5">
        <v>980838.35</v>
      </c>
      <c r="CM64" s="717">
        <v>19</v>
      </c>
      <c r="CN64" s="5">
        <v>3030168.65</v>
      </c>
    </row>
    <row r="65" spans="65:92" x14ac:dyDescent="0.2">
      <c r="BM65" s="5"/>
      <c r="BQ65" s="215"/>
      <c r="BV65" s="5"/>
      <c r="BW65" s="5"/>
      <c r="BX65" s="5"/>
      <c r="BY65" s="5"/>
      <c r="BZ65" s="5"/>
      <c r="CA65" s="5"/>
      <c r="CI65" s="713">
        <v>45565</v>
      </c>
      <c r="CJ65" t="s">
        <v>345</v>
      </c>
      <c r="CK65">
        <v>2013</v>
      </c>
      <c r="CL65" s="5">
        <v>1700381.6900000002</v>
      </c>
      <c r="CM65" s="717">
        <v>24</v>
      </c>
      <c r="CN65" s="5">
        <v>4518340.9000000004</v>
      </c>
    </row>
    <row r="66" spans="65:92" x14ac:dyDescent="0.2">
      <c r="BM66" s="5"/>
      <c r="BQ66" s="215"/>
      <c r="BV66" s="5"/>
      <c r="BW66" s="5"/>
      <c r="BX66" s="5"/>
      <c r="BY66" s="5"/>
      <c r="BZ66" s="5"/>
      <c r="CA66" s="5"/>
      <c r="CI66" s="713">
        <v>45565</v>
      </c>
      <c r="CJ66" t="s">
        <v>346</v>
      </c>
      <c r="CK66">
        <v>2014</v>
      </c>
      <c r="CL66" s="5">
        <v>6483443.0100000007</v>
      </c>
      <c r="CM66" s="717">
        <v>66</v>
      </c>
      <c r="CN66" s="5">
        <v>15851408.330000002</v>
      </c>
    </row>
    <row r="67" spans="65:92" x14ac:dyDescent="0.2">
      <c r="BM67" s="5"/>
      <c r="BQ67" s="215"/>
      <c r="BV67" s="5"/>
      <c r="BW67" s="5"/>
      <c r="BX67" s="5"/>
      <c r="BY67" s="5"/>
      <c r="BZ67" s="5"/>
      <c r="CA67" s="5"/>
      <c r="CI67" s="713">
        <v>45565</v>
      </c>
      <c r="CJ67" t="s">
        <v>347</v>
      </c>
      <c r="CK67">
        <v>2015</v>
      </c>
      <c r="CL67" s="5">
        <v>11275188.529999999</v>
      </c>
      <c r="CM67" s="717">
        <v>95</v>
      </c>
      <c r="CN67" s="5">
        <v>25948880.129999999</v>
      </c>
    </row>
    <row r="68" spans="65:92" x14ac:dyDescent="0.2">
      <c r="BM68" s="5"/>
      <c r="BQ68" s="215"/>
      <c r="BV68" s="5"/>
      <c r="BW68" s="5"/>
      <c r="BX68" s="5"/>
      <c r="BY68" s="5"/>
      <c r="BZ68" s="5"/>
      <c r="CA68" s="5"/>
      <c r="CI68" s="713">
        <v>45565</v>
      </c>
      <c r="CJ68" t="s">
        <v>348</v>
      </c>
      <c r="CK68">
        <v>2016</v>
      </c>
      <c r="CL68" s="5">
        <v>7808234.2399999984</v>
      </c>
      <c r="CM68" s="717">
        <v>68</v>
      </c>
      <c r="CN68" s="5">
        <v>14535506.43</v>
      </c>
    </row>
    <row r="69" spans="65:92" x14ac:dyDescent="0.2">
      <c r="BM69" s="5"/>
      <c r="BQ69" s="215"/>
      <c r="BV69" s="5"/>
      <c r="BW69" s="5"/>
      <c r="BX69" s="5"/>
      <c r="BY69" s="5"/>
      <c r="BZ69" s="5"/>
      <c r="CA69" s="5"/>
      <c r="CI69" s="713">
        <v>45565</v>
      </c>
      <c r="CJ69" t="s">
        <v>349</v>
      </c>
      <c r="CK69">
        <v>2017</v>
      </c>
      <c r="CL69" s="5">
        <v>39797923.699999996</v>
      </c>
      <c r="CM69" s="717">
        <v>217</v>
      </c>
      <c r="CN69" s="5">
        <v>66156297.75</v>
      </c>
    </row>
    <row r="70" spans="65:92" x14ac:dyDescent="0.2">
      <c r="BM70" s="5"/>
      <c r="BQ70" s="215"/>
      <c r="BV70" s="5"/>
      <c r="BW70" s="5"/>
      <c r="BX70" s="5"/>
      <c r="BY70" s="5"/>
      <c r="BZ70" s="5"/>
      <c r="CA70" s="5"/>
      <c r="CI70" s="713">
        <v>45565</v>
      </c>
      <c r="CJ70" t="s">
        <v>350</v>
      </c>
      <c r="CK70">
        <v>2018</v>
      </c>
      <c r="CL70" s="5">
        <v>43083389.670000002</v>
      </c>
      <c r="CM70" s="717">
        <v>224</v>
      </c>
      <c r="CN70" s="5">
        <v>72522547.349999994</v>
      </c>
    </row>
    <row r="71" spans="65:92" x14ac:dyDescent="0.2">
      <c r="BM71" s="5"/>
      <c r="BQ71" s="215"/>
      <c r="BV71" s="5"/>
      <c r="BW71" s="5"/>
      <c r="BX71" s="5"/>
      <c r="BY71" s="5"/>
      <c r="BZ71" s="5"/>
      <c r="CA71" s="5"/>
      <c r="CI71" s="713">
        <v>45565</v>
      </c>
      <c r="CJ71" t="s">
        <v>929</v>
      </c>
      <c r="CK71">
        <v>2019</v>
      </c>
      <c r="CL71" s="5">
        <v>52338292.129999958</v>
      </c>
      <c r="CM71" s="717">
        <v>245</v>
      </c>
      <c r="CN71" s="5">
        <v>72756318.99000001</v>
      </c>
    </row>
    <row r="72" spans="65:92" x14ac:dyDescent="0.2">
      <c r="BM72" s="5"/>
      <c r="BQ72" s="215"/>
      <c r="BV72" s="5"/>
      <c r="BW72" s="5"/>
      <c r="BX72" s="5"/>
      <c r="BY72" s="5"/>
      <c r="BZ72" s="5"/>
      <c r="CA72" s="5"/>
      <c r="CI72" s="713">
        <v>45565</v>
      </c>
      <c r="CJ72" t="s">
        <v>930</v>
      </c>
      <c r="CK72">
        <v>2020</v>
      </c>
      <c r="CL72" s="5">
        <v>114250314.20999999</v>
      </c>
      <c r="CM72" s="717">
        <v>384</v>
      </c>
      <c r="CN72" s="5">
        <v>143408162.75999999</v>
      </c>
    </row>
    <row r="73" spans="65:92" x14ac:dyDescent="0.2">
      <c r="BM73" s="5"/>
      <c r="BQ73" s="215"/>
      <c r="BV73" s="5"/>
      <c r="BW73" s="5"/>
      <c r="BX73" s="5"/>
      <c r="BY73" s="5"/>
      <c r="BZ73" s="5"/>
      <c r="CA73" s="5"/>
      <c r="CI73" s="713">
        <v>45565</v>
      </c>
      <c r="CJ73" t="s">
        <v>931</v>
      </c>
      <c r="CK73">
        <v>2021</v>
      </c>
      <c r="CL73" s="5">
        <v>97741195.510000035</v>
      </c>
      <c r="CM73" s="717">
        <v>349</v>
      </c>
      <c r="CN73" s="5">
        <v>117065600.47</v>
      </c>
    </row>
    <row r="74" spans="65:92" x14ac:dyDescent="0.2">
      <c r="BM74" s="5"/>
      <c r="BQ74" s="215"/>
      <c r="BV74" s="5"/>
      <c r="BW74" s="5"/>
      <c r="BX74" s="5"/>
      <c r="BY74" s="5"/>
      <c r="BZ74" s="5"/>
      <c r="CA74" s="5"/>
      <c r="CI74" s="713">
        <v>45565</v>
      </c>
      <c r="CJ74" t="s">
        <v>932</v>
      </c>
      <c r="CK74">
        <v>2022</v>
      </c>
      <c r="CL74" s="5">
        <v>155243564.40000001</v>
      </c>
      <c r="CM74" s="717">
        <v>400</v>
      </c>
      <c r="CN74" s="5">
        <v>175770996.25</v>
      </c>
    </row>
    <row r="75" spans="65:92" x14ac:dyDescent="0.2">
      <c r="BM75" s="5"/>
      <c r="BQ75" s="215"/>
      <c r="BV75" s="5"/>
      <c r="BW75" s="5"/>
      <c r="BX75" s="5"/>
      <c r="BY75" s="5"/>
      <c r="BZ75" s="5"/>
      <c r="CA75" s="5"/>
      <c r="CI75" s="713">
        <v>45565</v>
      </c>
      <c r="CJ75" t="s">
        <v>933</v>
      </c>
      <c r="CK75">
        <v>2023</v>
      </c>
      <c r="CL75" s="5">
        <v>77912163.020000085</v>
      </c>
      <c r="CM75" s="717">
        <v>223</v>
      </c>
      <c r="CN75" s="5">
        <v>89302115.799999997</v>
      </c>
    </row>
    <row r="76" spans="65:92" x14ac:dyDescent="0.2">
      <c r="BM76" s="5"/>
      <c r="BQ76" s="215"/>
      <c r="BV76" s="5"/>
      <c r="BW76" s="5"/>
      <c r="BX76" s="5"/>
      <c r="BY76" s="5"/>
      <c r="BZ76" s="5"/>
      <c r="CA76" s="5"/>
      <c r="CI76" s="713">
        <v>45565</v>
      </c>
      <c r="CJ76" t="s">
        <v>352</v>
      </c>
      <c r="CK76" t="s">
        <v>934</v>
      </c>
      <c r="CL76" s="5">
        <v>277705269.55999994</v>
      </c>
      <c r="CM76" s="717">
        <v>1195</v>
      </c>
      <c r="CN76" s="5">
        <v>391552849.27000004</v>
      </c>
    </row>
    <row r="77" spans="65:92" x14ac:dyDescent="0.2">
      <c r="BM77" s="5"/>
      <c r="BQ77" s="215"/>
      <c r="BV77" s="5"/>
      <c r="BW77" s="5"/>
      <c r="BX77" s="5"/>
      <c r="BY77" s="5"/>
      <c r="BZ77" s="5"/>
      <c r="CA77" s="5"/>
      <c r="CI77" s="713">
        <v>45565</v>
      </c>
      <c r="CJ77" t="s">
        <v>354</v>
      </c>
      <c r="CK77" t="s">
        <v>935</v>
      </c>
      <c r="CL77" s="5">
        <v>292108163.79000032</v>
      </c>
      <c r="CM77" s="717">
        <v>1434</v>
      </c>
      <c r="CN77" s="5">
        <v>457962043.40000004</v>
      </c>
    </row>
    <row r="78" spans="65:92" x14ac:dyDescent="0.2">
      <c r="BM78" s="5"/>
      <c r="BQ78" s="215"/>
      <c r="BV78" s="5"/>
      <c r="BW78" s="5"/>
      <c r="BX78" s="5"/>
      <c r="BY78" s="5"/>
      <c r="BZ78" s="5"/>
      <c r="CA78" s="5"/>
      <c r="CI78" s="713">
        <v>45565</v>
      </c>
      <c r="CJ78" t="s">
        <v>356</v>
      </c>
      <c r="CK78" t="s">
        <v>936</v>
      </c>
      <c r="CL78" s="5">
        <v>54951861.109999977</v>
      </c>
      <c r="CM78" s="717">
        <v>286</v>
      </c>
      <c r="CN78" s="5">
        <v>88076659.409999996</v>
      </c>
    </row>
    <row r="79" spans="65:92" x14ac:dyDescent="0.2">
      <c r="BM79" s="5"/>
      <c r="BQ79" s="215"/>
      <c r="BV79" s="5"/>
      <c r="BW79" s="5"/>
      <c r="BX79" s="5"/>
      <c r="BY79" s="5"/>
      <c r="BZ79" s="5"/>
      <c r="CA79" s="5"/>
      <c r="CI79" s="713">
        <v>45565</v>
      </c>
      <c r="CJ79" t="s">
        <v>358</v>
      </c>
      <c r="CK79" t="s">
        <v>937</v>
      </c>
      <c r="CL79" s="5">
        <v>37548604.480000049</v>
      </c>
      <c r="CM79" s="717">
        <v>318</v>
      </c>
      <c r="CN79" s="5">
        <v>80086910.449999988</v>
      </c>
    </row>
    <row r="80" spans="65:92" x14ac:dyDescent="0.2">
      <c r="BM80" s="5"/>
      <c r="BQ80" s="215"/>
      <c r="BV80" s="5"/>
      <c r="BW80" s="5"/>
      <c r="BX80" s="5"/>
      <c r="BY80" s="5"/>
      <c r="BZ80" s="5"/>
      <c r="CA80" s="5"/>
      <c r="CI80" s="713">
        <v>45565</v>
      </c>
      <c r="CJ80" t="s">
        <v>360</v>
      </c>
      <c r="CK80" t="s">
        <v>938</v>
      </c>
      <c r="CL80" s="5">
        <v>19591183.43</v>
      </c>
      <c r="CM80" s="717">
        <v>350</v>
      </c>
      <c r="CN80" s="5">
        <v>77430579.340000004</v>
      </c>
    </row>
    <row r="81" spans="65:92" x14ac:dyDescent="0.2">
      <c r="BM81" s="5"/>
      <c r="BQ81" s="215"/>
      <c r="BV81" s="5"/>
      <c r="BW81" s="5"/>
      <c r="BX81" s="5"/>
      <c r="BY81" s="5"/>
      <c r="BZ81" s="5"/>
      <c r="CA81" s="5"/>
      <c r="CI81" s="713">
        <v>45565</v>
      </c>
      <c r="CJ81" t="s">
        <v>362</v>
      </c>
      <c r="CK81" t="s">
        <v>939</v>
      </c>
      <c r="CL81" s="5">
        <v>1061493.6099999999</v>
      </c>
      <c r="CM81" s="717">
        <v>26</v>
      </c>
      <c r="CN81" s="5">
        <v>4494205</v>
      </c>
    </row>
    <row r="82" spans="65:92" x14ac:dyDescent="0.2">
      <c r="BM82" s="5"/>
      <c r="BQ82" s="215"/>
      <c r="BV82" s="5"/>
      <c r="BW82" s="5"/>
      <c r="BX82" s="5"/>
      <c r="BY82" s="5"/>
      <c r="BZ82" s="5"/>
      <c r="CA82" s="5"/>
      <c r="CI82" s="713">
        <v>45565</v>
      </c>
      <c r="CJ82" t="s">
        <v>372</v>
      </c>
      <c r="CK82" t="s">
        <v>871</v>
      </c>
      <c r="CL82" s="5">
        <v>441770.13000000006</v>
      </c>
      <c r="CM82" s="717">
        <v>35</v>
      </c>
      <c r="CN82" s="5">
        <v>6497809.5099999998</v>
      </c>
    </row>
    <row r="83" spans="65:92" x14ac:dyDescent="0.2">
      <c r="BM83" s="5"/>
      <c r="BQ83" s="215"/>
      <c r="BV83" s="5"/>
      <c r="BW83" s="5"/>
      <c r="BX83" s="5"/>
      <c r="BY83" s="5"/>
      <c r="BZ83" s="5"/>
      <c r="CA83" s="5"/>
      <c r="CI83" s="713">
        <v>45565</v>
      </c>
      <c r="CJ83" t="s">
        <v>374</v>
      </c>
      <c r="CK83" t="s">
        <v>872</v>
      </c>
      <c r="CL83" s="5">
        <v>0</v>
      </c>
      <c r="CM83" s="717">
        <v>0</v>
      </c>
      <c r="CN83" s="5">
        <v>0</v>
      </c>
    </row>
    <row r="84" spans="65:92" x14ac:dyDescent="0.2">
      <c r="BM84" s="5"/>
      <c r="BQ84" s="215"/>
      <c r="BV84" s="5"/>
      <c r="BW84" s="5"/>
      <c r="BX84" s="5"/>
      <c r="BY84" s="5"/>
      <c r="BZ84" s="5"/>
      <c r="CA84" s="5"/>
      <c r="CI84" s="713">
        <v>45565</v>
      </c>
      <c r="CJ84" t="s">
        <v>376</v>
      </c>
      <c r="CK84" t="s">
        <v>873</v>
      </c>
      <c r="CL84" s="5">
        <v>665567985.53999865</v>
      </c>
      <c r="CM84" s="717">
        <v>3320</v>
      </c>
      <c r="CN84" s="5">
        <v>1027176868.4800001</v>
      </c>
    </row>
    <row r="85" spans="65:92" x14ac:dyDescent="0.2">
      <c r="BM85" s="5"/>
      <c r="BQ85" s="215"/>
      <c r="BV85" s="5"/>
      <c r="BW85" s="5"/>
      <c r="BX85" s="5"/>
      <c r="BY85" s="5"/>
      <c r="BZ85" s="5"/>
      <c r="CA85" s="5"/>
      <c r="CI85" s="713">
        <v>45565</v>
      </c>
      <c r="CJ85" t="s">
        <v>378</v>
      </c>
      <c r="CK85" t="s">
        <v>874</v>
      </c>
      <c r="CL85" s="5">
        <v>0</v>
      </c>
      <c r="CM85" s="717">
        <v>0</v>
      </c>
      <c r="CN85" s="5">
        <v>0</v>
      </c>
    </row>
    <row r="86" spans="65:92" x14ac:dyDescent="0.2">
      <c r="BM86" s="5"/>
      <c r="BQ86" s="215"/>
      <c r="BV86" s="5"/>
      <c r="BW86" s="5"/>
      <c r="BX86" s="5"/>
      <c r="BY86" s="5"/>
      <c r="BZ86" s="5"/>
      <c r="CA86" s="5"/>
      <c r="CI86" s="713">
        <v>45565</v>
      </c>
      <c r="CJ86" t="s">
        <v>380</v>
      </c>
      <c r="CK86" t="s">
        <v>875</v>
      </c>
      <c r="CL86" s="5">
        <v>0</v>
      </c>
      <c r="CM86" s="717">
        <v>0</v>
      </c>
      <c r="CN86" s="5">
        <v>0</v>
      </c>
    </row>
    <row r="87" spans="65:92" x14ac:dyDescent="0.2">
      <c r="BM87" s="5"/>
      <c r="BQ87" s="215"/>
      <c r="BV87" s="5"/>
      <c r="BW87" s="5"/>
      <c r="BX87" s="5"/>
      <c r="BY87" s="5"/>
      <c r="BZ87" s="5"/>
      <c r="CA87" s="5"/>
      <c r="CI87" s="713">
        <v>45565</v>
      </c>
      <c r="CJ87" t="s">
        <v>382</v>
      </c>
      <c r="CK87" t="s">
        <v>876</v>
      </c>
      <c r="CL87" s="5">
        <v>0</v>
      </c>
      <c r="CM87" s="717">
        <v>0</v>
      </c>
      <c r="CN87" s="5">
        <v>0</v>
      </c>
    </row>
    <row r="88" spans="65:92" x14ac:dyDescent="0.2">
      <c r="BM88" s="5"/>
      <c r="BQ88" s="215"/>
      <c r="BV88" s="5"/>
      <c r="BW88" s="5"/>
      <c r="BX88" s="5"/>
      <c r="BY88" s="5"/>
      <c r="BZ88" s="5"/>
      <c r="CA88" s="5"/>
      <c r="CI88" s="713">
        <v>45565</v>
      </c>
      <c r="CJ88" t="s">
        <v>384</v>
      </c>
      <c r="CK88" t="s">
        <v>877</v>
      </c>
      <c r="CL88" s="5">
        <v>16956820.309999995</v>
      </c>
      <c r="CM88" s="717">
        <v>254</v>
      </c>
      <c r="CN88" s="5">
        <v>65928568.879999995</v>
      </c>
    </row>
    <row r="89" spans="65:92" x14ac:dyDescent="0.2">
      <c r="BM89" s="5"/>
      <c r="BQ89" s="215"/>
      <c r="BV89" s="5"/>
      <c r="BW89" s="5"/>
      <c r="BX89" s="5"/>
      <c r="BY89" s="5"/>
      <c r="BZ89" s="5"/>
      <c r="CA89" s="5"/>
      <c r="CI89" s="713">
        <v>45565</v>
      </c>
      <c r="CJ89" t="s">
        <v>386</v>
      </c>
      <c r="CK89" t="s">
        <v>878</v>
      </c>
      <c r="CL89" s="5">
        <v>0</v>
      </c>
      <c r="CM89" s="717">
        <v>0</v>
      </c>
      <c r="CN89" s="5">
        <v>0</v>
      </c>
    </row>
    <row r="90" spans="65:92" x14ac:dyDescent="0.2">
      <c r="BM90" s="5"/>
      <c r="BQ90" s="215"/>
      <c r="BV90" s="5"/>
      <c r="BW90" s="5"/>
      <c r="BX90" s="5"/>
      <c r="BY90" s="5"/>
      <c r="BZ90" s="5"/>
      <c r="CA90" s="5"/>
      <c r="CI90" s="713">
        <v>45565</v>
      </c>
      <c r="CJ90" t="s">
        <v>388</v>
      </c>
      <c r="CK90" t="s">
        <v>879</v>
      </c>
      <c r="CL90" s="5">
        <v>0</v>
      </c>
      <c r="CM90" s="717">
        <v>0</v>
      </c>
      <c r="CN90" s="5">
        <v>0</v>
      </c>
    </row>
    <row r="91" spans="65:92" x14ac:dyDescent="0.2">
      <c r="BM91" s="5"/>
      <c r="BQ91" s="215"/>
      <c r="BV91" s="5"/>
      <c r="BW91" s="5"/>
      <c r="BX91" s="5"/>
      <c r="BY91" s="5"/>
      <c r="BZ91" s="5"/>
      <c r="CA91" s="5"/>
      <c r="CI91" s="713">
        <v>45565</v>
      </c>
      <c r="CJ91" t="s">
        <v>390</v>
      </c>
      <c r="CK91" t="s">
        <v>880</v>
      </c>
      <c r="CL91" s="5">
        <v>0</v>
      </c>
      <c r="CM91" s="717">
        <v>0</v>
      </c>
      <c r="CN91" s="5">
        <v>0</v>
      </c>
    </row>
    <row r="92" spans="65:92" x14ac:dyDescent="0.2">
      <c r="BM92" s="5"/>
      <c r="BQ92" s="215"/>
      <c r="BV92" s="5"/>
      <c r="BW92" s="5"/>
      <c r="BX92" s="5"/>
      <c r="BY92" s="5"/>
      <c r="BZ92" s="5"/>
      <c r="CA92" s="5"/>
      <c r="CI92" s="713">
        <v>45565</v>
      </c>
      <c r="CJ92" t="s">
        <v>392</v>
      </c>
      <c r="CK92" t="s">
        <v>881</v>
      </c>
      <c r="CL92" s="5">
        <v>0</v>
      </c>
      <c r="CM92" s="717">
        <v>0</v>
      </c>
      <c r="CN92" s="5">
        <v>0</v>
      </c>
    </row>
    <row r="93" spans="65:92" x14ac:dyDescent="0.2">
      <c r="BM93" s="5"/>
      <c r="BQ93" s="215"/>
      <c r="BV93" s="5"/>
      <c r="BW93" s="5"/>
      <c r="BX93" s="5"/>
      <c r="BY93" s="5"/>
      <c r="BZ93" s="5"/>
      <c r="CA93" s="5"/>
      <c r="CI93" s="713">
        <v>45565</v>
      </c>
      <c r="CJ93" t="s">
        <v>393</v>
      </c>
      <c r="CK93" t="s">
        <v>882</v>
      </c>
      <c r="CL93" s="5">
        <v>0</v>
      </c>
      <c r="CM93" s="717">
        <v>0</v>
      </c>
      <c r="CN93" s="5">
        <v>0</v>
      </c>
    </row>
    <row r="94" spans="65:92" x14ac:dyDescent="0.2">
      <c r="BM94" s="5"/>
      <c r="BQ94" s="215"/>
      <c r="BV94" s="5"/>
      <c r="BW94" s="5"/>
      <c r="BX94" s="5"/>
      <c r="BY94" s="5"/>
      <c r="BZ94" s="5"/>
      <c r="CA94" s="5"/>
      <c r="CI94" s="713">
        <v>45565</v>
      </c>
      <c r="CJ94" t="s">
        <v>394</v>
      </c>
      <c r="CK94" t="s">
        <v>883</v>
      </c>
      <c r="CL94" s="5">
        <v>0</v>
      </c>
      <c r="CM94" s="717">
        <v>0</v>
      </c>
      <c r="CN94" s="5">
        <v>0</v>
      </c>
    </row>
    <row r="95" spans="65:92" x14ac:dyDescent="0.2">
      <c r="BM95" s="5"/>
      <c r="BQ95" s="215"/>
      <c r="BV95" s="5"/>
      <c r="BW95" s="5"/>
      <c r="BX95" s="5"/>
      <c r="BY95" s="5"/>
      <c r="BZ95" s="5"/>
      <c r="CA95" s="5"/>
      <c r="CI95" s="713">
        <v>45565</v>
      </c>
      <c r="CJ95" t="s">
        <v>395</v>
      </c>
      <c r="CK95">
        <v>3</v>
      </c>
      <c r="CL95" s="5">
        <v>66770214.280000038</v>
      </c>
      <c r="CM95" s="717">
        <v>679</v>
      </c>
      <c r="CN95" s="5">
        <v>158080474.00999996</v>
      </c>
    </row>
    <row r="96" spans="65:92" x14ac:dyDescent="0.2">
      <c r="BM96" s="5"/>
      <c r="BQ96" s="215"/>
      <c r="BV96" s="5"/>
      <c r="BW96" s="5"/>
      <c r="BX96" s="5"/>
      <c r="BY96" s="5"/>
      <c r="BZ96" s="5"/>
      <c r="CA96" s="5"/>
      <c r="CI96" s="713">
        <v>45565</v>
      </c>
      <c r="CJ96" t="s">
        <v>396</v>
      </c>
      <c r="CK96">
        <v>1</v>
      </c>
      <c r="CL96" s="5">
        <v>490688274.62999994</v>
      </c>
      <c r="CM96" s="717">
        <v>1638</v>
      </c>
      <c r="CN96" s="5">
        <v>595024971.24000001</v>
      </c>
    </row>
    <row r="97" spans="65:92" x14ac:dyDescent="0.2">
      <c r="BM97" s="5"/>
      <c r="BQ97" s="215"/>
      <c r="BV97" s="5"/>
      <c r="BW97" s="5"/>
      <c r="BX97" s="5"/>
      <c r="BY97" s="5"/>
      <c r="BZ97" s="5"/>
      <c r="CA97" s="5"/>
      <c r="CI97" s="713">
        <v>45565</v>
      </c>
      <c r="CJ97" t="s">
        <v>397</v>
      </c>
      <c r="CK97">
        <v>4</v>
      </c>
      <c r="CL97" s="5">
        <v>97669672.810000017</v>
      </c>
      <c r="CM97" s="717">
        <v>885</v>
      </c>
      <c r="CN97" s="5">
        <v>246502951.91999981</v>
      </c>
    </row>
    <row r="98" spans="65:92" x14ac:dyDescent="0.2">
      <c r="BM98" s="5"/>
      <c r="BQ98" s="215"/>
      <c r="BV98" s="5"/>
      <c r="BW98" s="5"/>
      <c r="BX98" s="5"/>
      <c r="BY98" s="5"/>
      <c r="BZ98" s="5"/>
      <c r="CA98" s="5"/>
      <c r="CI98" s="713">
        <v>45565</v>
      </c>
      <c r="CJ98" t="s">
        <v>398</v>
      </c>
      <c r="CK98">
        <v>2</v>
      </c>
      <c r="CL98" s="5">
        <v>27838414.260000002</v>
      </c>
      <c r="CM98" s="717">
        <v>407</v>
      </c>
      <c r="CN98" s="5">
        <v>99994849.699999928</v>
      </c>
    </row>
    <row r="99" spans="65:92" x14ac:dyDescent="0.2">
      <c r="BM99" s="5"/>
      <c r="BQ99" s="215"/>
      <c r="BV99" s="5"/>
      <c r="BW99" s="5"/>
      <c r="BX99" s="5"/>
      <c r="BY99" s="5"/>
      <c r="BZ99" s="5"/>
      <c r="CA99" s="5"/>
      <c r="CI99" s="713">
        <v>45565</v>
      </c>
      <c r="CJ99" t="s">
        <v>399</v>
      </c>
      <c r="CK99" t="s">
        <v>884</v>
      </c>
      <c r="CL99" s="5">
        <v>11604091.060000006</v>
      </c>
      <c r="CM99" s="717">
        <v>675</v>
      </c>
      <c r="CN99" s="5"/>
    </row>
    <row r="100" spans="65:92" x14ac:dyDescent="0.2">
      <c r="BM100" s="5"/>
      <c r="BQ100" s="215"/>
      <c r="BV100" s="5"/>
      <c r="BW100" s="5"/>
      <c r="BX100" s="5"/>
      <c r="BY100" s="5"/>
      <c r="BZ100" s="5"/>
      <c r="CA100" s="5"/>
      <c r="CI100" s="713">
        <v>45565</v>
      </c>
      <c r="CJ100" t="s">
        <v>400</v>
      </c>
      <c r="CK100" t="s">
        <v>375</v>
      </c>
      <c r="CL100" s="5">
        <v>32821536.389999986</v>
      </c>
      <c r="CM100" s="717">
        <v>418</v>
      </c>
      <c r="CN100" s="5"/>
    </row>
    <row r="101" spans="65:92" x14ac:dyDescent="0.2">
      <c r="BM101" s="5"/>
      <c r="BQ101" s="215"/>
      <c r="BV101" s="5"/>
      <c r="BW101" s="5"/>
      <c r="BX101" s="5"/>
      <c r="BY101" s="5"/>
      <c r="BZ101" s="5"/>
      <c r="CA101" s="5"/>
      <c r="CI101" s="713">
        <v>45565</v>
      </c>
      <c r="CJ101" t="s">
        <v>401</v>
      </c>
      <c r="CK101" t="s">
        <v>377</v>
      </c>
      <c r="CL101" s="5">
        <v>56931368.080000013</v>
      </c>
      <c r="CM101" s="717">
        <v>440</v>
      </c>
      <c r="CN101" s="5"/>
    </row>
    <row r="102" spans="65:92" x14ac:dyDescent="0.2">
      <c r="BM102" s="5"/>
      <c r="BQ102" s="215"/>
      <c r="BV102" s="5"/>
      <c r="BW102" s="5"/>
      <c r="BX102" s="5"/>
      <c r="BY102" s="5"/>
      <c r="BZ102" s="5"/>
      <c r="CA102" s="5"/>
      <c r="CI102" s="713">
        <v>45565</v>
      </c>
      <c r="CJ102" t="s">
        <v>402</v>
      </c>
      <c r="CK102" t="s">
        <v>379</v>
      </c>
      <c r="CL102" s="5">
        <v>78536397.609999955</v>
      </c>
      <c r="CM102" s="717">
        <v>421</v>
      </c>
      <c r="CN102" s="5"/>
    </row>
    <row r="103" spans="65:92" x14ac:dyDescent="0.2">
      <c r="BM103" s="5"/>
      <c r="BQ103" s="215"/>
      <c r="BV103" s="5"/>
      <c r="BW103" s="5"/>
      <c r="BX103" s="5"/>
      <c r="BY103" s="5"/>
      <c r="BZ103" s="5"/>
      <c r="CA103" s="5"/>
      <c r="CI103" s="713">
        <v>45565</v>
      </c>
      <c r="CJ103" t="s">
        <v>403</v>
      </c>
      <c r="CK103" t="s">
        <v>381</v>
      </c>
      <c r="CL103" s="5">
        <v>74396611.559999943</v>
      </c>
      <c r="CM103" s="717">
        <v>347</v>
      </c>
      <c r="CN103" s="5"/>
    </row>
    <row r="104" spans="65:92" x14ac:dyDescent="0.2">
      <c r="BM104" s="5"/>
      <c r="BQ104" s="215"/>
      <c r="BV104" s="5"/>
      <c r="BW104" s="5"/>
      <c r="BX104" s="5"/>
      <c r="BY104" s="5"/>
      <c r="BZ104" s="5"/>
      <c r="CA104" s="5"/>
      <c r="CI104" s="713">
        <v>45565</v>
      </c>
      <c r="CJ104" t="s">
        <v>404</v>
      </c>
      <c r="CK104" t="s">
        <v>383</v>
      </c>
      <c r="CL104" s="5">
        <v>75136345.409999996</v>
      </c>
      <c r="CM104" s="717">
        <v>283</v>
      </c>
      <c r="CN104" s="5"/>
    </row>
    <row r="105" spans="65:92" x14ac:dyDescent="0.2">
      <c r="BM105" s="5"/>
      <c r="BQ105" s="215"/>
      <c r="BV105" s="5"/>
      <c r="BW105" s="5"/>
      <c r="BX105" s="5"/>
      <c r="BY105" s="5"/>
      <c r="BZ105" s="5"/>
      <c r="CA105" s="5"/>
      <c r="CI105" s="713">
        <v>45565</v>
      </c>
      <c r="CJ105" t="s">
        <v>405</v>
      </c>
      <c r="CK105" t="s">
        <v>385</v>
      </c>
      <c r="CL105" s="5">
        <v>76453718.150000006</v>
      </c>
      <c r="CM105" s="717">
        <v>261</v>
      </c>
      <c r="CN105" s="5"/>
    </row>
    <row r="106" spans="65:92" x14ac:dyDescent="0.2">
      <c r="BM106" s="5"/>
      <c r="BQ106" s="215"/>
      <c r="BV106" s="5"/>
      <c r="BW106" s="5"/>
      <c r="BX106" s="5"/>
      <c r="BY106" s="5"/>
      <c r="BZ106" s="5"/>
      <c r="CA106" s="5"/>
      <c r="CI106" s="713">
        <v>45565</v>
      </c>
      <c r="CJ106" t="s">
        <v>406</v>
      </c>
      <c r="CK106" t="s">
        <v>387</v>
      </c>
      <c r="CL106" s="5">
        <v>95386427.489999965</v>
      </c>
      <c r="CM106" s="717">
        <v>282</v>
      </c>
      <c r="CN106" s="5"/>
    </row>
    <row r="107" spans="65:92" x14ac:dyDescent="0.2">
      <c r="BM107" s="5"/>
      <c r="BQ107" s="215"/>
      <c r="BV107" s="5"/>
      <c r="BW107" s="5"/>
      <c r="BX107" s="5"/>
      <c r="BY107" s="5"/>
      <c r="BZ107" s="5"/>
      <c r="CA107" s="5"/>
      <c r="CI107" s="713">
        <v>45565</v>
      </c>
      <c r="CJ107" t="s">
        <v>407</v>
      </c>
      <c r="CK107" t="s">
        <v>389</v>
      </c>
      <c r="CL107" s="5">
        <v>97869909.760000035</v>
      </c>
      <c r="CM107" s="717">
        <v>269</v>
      </c>
      <c r="CN107" s="5"/>
    </row>
    <row r="108" spans="65:92" x14ac:dyDescent="0.2">
      <c r="BM108" s="5"/>
      <c r="BQ108" s="215"/>
      <c r="BV108" s="5"/>
      <c r="BW108" s="5"/>
      <c r="BX108" s="5"/>
      <c r="BY108" s="5"/>
      <c r="BZ108" s="5"/>
      <c r="CA108" s="5"/>
      <c r="CI108" s="713">
        <v>45565</v>
      </c>
      <c r="CJ108" t="s">
        <v>408</v>
      </c>
      <c r="CK108" t="s">
        <v>391</v>
      </c>
      <c r="CL108" s="5">
        <v>68960061.670000017</v>
      </c>
      <c r="CM108" s="717">
        <v>163</v>
      </c>
      <c r="CN108" s="5"/>
    </row>
    <row r="109" spans="65:92" x14ac:dyDescent="0.2">
      <c r="BM109" s="5"/>
      <c r="BQ109" s="215"/>
      <c r="BV109" s="5"/>
      <c r="BW109" s="5"/>
      <c r="BX109" s="5"/>
      <c r="BY109" s="5"/>
      <c r="BZ109" s="5"/>
      <c r="CA109" s="5"/>
      <c r="CI109" s="713">
        <v>45565</v>
      </c>
      <c r="CJ109" t="s">
        <v>409</v>
      </c>
      <c r="CK109" t="s">
        <v>940</v>
      </c>
      <c r="CL109" s="5">
        <v>14870108.799999997</v>
      </c>
      <c r="CM109" s="717">
        <v>50</v>
      </c>
      <c r="CN109" s="5"/>
    </row>
    <row r="110" spans="65:92" x14ac:dyDescent="0.2">
      <c r="BM110" s="5"/>
      <c r="BQ110" s="215"/>
      <c r="BV110" s="5"/>
      <c r="BW110" s="5"/>
      <c r="BX110" s="5"/>
      <c r="BY110" s="5"/>
      <c r="BZ110" s="5"/>
      <c r="CA110" s="5"/>
      <c r="CI110" s="713">
        <v>45565</v>
      </c>
      <c r="CJ110" t="s">
        <v>411</v>
      </c>
      <c r="CK110" t="s">
        <v>884</v>
      </c>
      <c r="CL110" s="5">
        <v>693876.29999999981</v>
      </c>
      <c r="CM110" s="717">
        <v>15</v>
      </c>
      <c r="CN110" s="5"/>
    </row>
    <row r="111" spans="65:92" x14ac:dyDescent="0.2">
      <c r="BM111" s="5"/>
      <c r="BQ111" s="215"/>
      <c r="BV111" s="5"/>
      <c r="BW111" s="5"/>
      <c r="BX111" s="5"/>
      <c r="BY111" s="5"/>
      <c r="BZ111" s="5"/>
      <c r="CA111" s="5"/>
      <c r="CI111" s="713">
        <v>45565</v>
      </c>
      <c r="CJ111" t="s">
        <v>412</v>
      </c>
      <c r="CK111" t="s">
        <v>375</v>
      </c>
      <c r="CL111" s="5">
        <v>7647093.910000002</v>
      </c>
      <c r="CM111" s="717">
        <v>68</v>
      </c>
      <c r="CN111" s="5"/>
    </row>
    <row r="112" spans="65:92" x14ac:dyDescent="0.2">
      <c r="BM112" s="5"/>
      <c r="BQ112" s="215"/>
      <c r="BV112" s="5"/>
      <c r="BW112" s="5"/>
      <c r="BX112" s="5"/>
      <c r="BY112" s="5"/>
      <c r="BZ112" s="5"/>
      <c r="CA112" s="5"/>
      <c r="CI112" s="713">
        <v>45565</v>
      </c>
      <c r="CJ112" t="s">
        <v>413</v>
      </c>
      <c r="CK112" t="s">
        <v>377</v>
      </c>
      <c r="CL112" s="5">
        <v>18332022.300000004</v>
      </c>
      <c r="CM112" s="717">
        <v>149</v>
      </c>
      <c r="CN112" s="5"/>
    </row>
    <row r="113" spans="65:92" x14ac:dyDescent="0.2">
      <c r="BM113" s="5"/>
      <c r="BQ113" s="215"/>
      <c r="BV113" s="5"/>
      <c r="BW113" s="5"/>
      <c r="BX113" s="5"/>
      <c r="BY113" s="5"/>
      <c r="BZ113" s="5"/>
      <c r="CA113" s="5"/>
      <c r="CI113" s="713">
        <v>45565</v>
      </c>
      <c r="CJ113" t="s">
        <v>414</v>
      </c>
      <c r="CK113" t="s">
        <v>379</v>
      </c>
      <c r="CL113" s="5">
        <v>30124670.830000009</v>
      </c>
      <c r="CM113" s="717">
        <v>206</v>
      </c>
      <c r="CN113" s="5"/>
    </row>
    <row r="114" spans="65:92" x14ac:dyDescent="0.2">
      <c r="BM114" s="5"/>
      <c r="BQ114" s="215"/>
      <c r="BV114" s="5"/>
      <c r="BW114" s="5"/>
      <c r="BX114" s="5"/>
      <c r="BY114" s="5"/>
      <c r="BZ114" s="5"/>
      <c r="CA114" s="5"/>
      <c r="CI114" s="713">
        <v>45565</v>
      </c>
      <c r="CJ114" t="s">
        <v>415</v>
      </c>
      <c r="CK114" t="s">
        <v>381</v>
      </c>
      <c r="CL114" s="5">
        <v>56213534.280000001</v>
      </c>
      <c r="CM114" s="717">
        <v>293</v>
      </c>
      <c r="CN114" s="5"/>
    </row>
    <row r="115" spans="65:92" x14ac:dyDescent="0.2">
      <c r="BM115" s="5"/>
      <c r="BQ115" s="215"/>
      <c r="BV115" s="5"/>
      <c r="BW115" s="5"/>
      <c r="BX115" s="5"/>
      <c r="BY115" s="5"/>
      <c r="BZ115" s="5"/>
      <c r="CA115" s="5"/>
      <c r="CI115" s="713">
        <v>45565</v>
      </c>
      <c r="CJ115" t="s">
        <v>416</v>
      </c>
      <c r="CK115" t="s">
        <v>383</v>
      </c>
      <c r="CL115" s="5">
        <v>58280503.229999952</v>
      </c>
      <c r="CM115" s="717">
        <v>333</v>
      </c>
      <c r="CN115" s="5"/>
    </row>
    <row r="116" spans="65:92" x14ac:dyDescent="0.2">
      <c r="BM116" s="5"/>
      <c r="BQ116" s="215"/>
      <c r="BV116" s="5"/>
      <c r="BW116" s="5"/>
      <c r="BX116" s="5"/>
      <c r="BY116" s="5"/>
      <c r="BZ116" s="5"/>
      <c r="CA116" s="5"/>
      <c r="CI116" s="713">
        <v>45565</v>
      </c>
      <c r="CJ116" t="s">
        <v>417</v>
      </c>
      <c r="CK116" t="s">
        <v>385</v>
      </c>
      <c r="CL116" s="5">
        <v>73887130.429999977</v>
      </c>
      <c r="CM116" s="717">
        <v>412</v>
      </c>
      <c r="CN116" s="5"/>
    </row>
    <row r="117" spans="65:92" x14ac:dyDescent="0.2">
      <c r="BM117" s="5"/>
      <c r="BQ117" s="215"/>
      <c r="BV117" s="5"/>
      <c r="BW117" s="5"/>
      <c r="BX117" s="5"/>
      <c r="BY117" s="5"/>
      <c r="BZ117" s="5"/>
      <c r="CA117" s="5"/>
      <c r="CI117" s="713">
        <v>45565</v>
      </c>
      <c r="CJ117" t="s">
        <v>418</v>
      </c>
      <c r="CK117" t="s">
        <v>387</v>
      </c>
      <c r="CL117" s="5">
        <v>68755243.409999982</v>
      </c>
      <c r="CM117" s="717">
        <v>351</v>
      </c>
      <c r="CN117" s="5"/>
    </row>
    <row r="118" spans="65:92" x14ac:dyDescent="0.2">
      <c r="BM118" s="5"/>
      <c r="BQ118" s="215"/>
      <c r="BV118" s="5"/>
      <c r="BW118" s="5"/>
      <c r="BX118" s="5"/>
      <c r="BY118" s="5"/>
      <c r="BZ118" s="5"/>
      <c r="CA118" s="5"/>
      <c r="CI118" s="713">
        <v>45565</v>
      </c>
      <c r="CJ118" t="s">
        <v>419</v>
      </c>
      <c r="CK118" t="s">
        <v>389</v>
      </c>
      <c r="CL118" s="5">
        <v>91644905.75000003</v>
      </c>
      <c r="CM118" s="717">
        <v>426</v>
      </c>
      <c r="CN118" s="5"/>
    </row>
    <row r="119" spans="65:92" x14ac:dyDescent="0.2">
      <c r="BM119" s="5"/>
      <c r="BQ119" s="215"/>
      <c r="BV119" s="5"/>
      <c r="BW119" s="5"/>
      <c r="BX119" s="5"/>
      <c r="BY119" s="5"/>
      <c r="BZ119" s="5"/>
      <c r="CA119" s="5"/>
      <c r="CI119" s="713">
        <v>45565</v>
      </c>
      <c r="CJ119" t="s">
        <v>420</v>
      </c>
      <c r="CK119" t="s">
        <v>391</v>
      </c>
      <c r="CL119" s="5">
        <v>238027520.56999987</v>
      </c>
      <c r="CM119" s="717">
        <v>1239</v>
      </c>
      <c r="CN119" s="5"/>
    </row>
    <row r="120" spans="65:92" x14ac:dyDescent="0.2">
      <c r="BM120" s="5"/>
      <c r="BQ120" s="215"/>
      <c r="BV120" s="5"/>
      <c r="BW120" s="5"/>
      <c r="BX120" s="5"/>
      <c r="BY120" s="5"/>
      <c r="BZ120" s="5"/>
      <c r="CA120" s="5"/>
      <c r="CI120" s="713">
        <v>45565</v>
      </c>
      <c r="CJ120" t="s">
        <v>421</v>
      </c>
      <c r="CK120" t="s">
        <v>940</v>
      </c>
      <c r="CL120" s="5">
        <v>39360074.970000006</v>
      </c>
      <c r="CM120" s="717">
        <v>117</v>
      </c>
      <c r="CN120" s="5"/>
    </row>
    <row r="121" spans="65:92" x14ac:dyDescent="0.2">
      <c r="BM121" s="5"/>
      <c r="BQ121" s="215"/>
      <c r="BV121" s="5"/>
      <c r="BW121" s="5"/>
      <c r="BX121" s="5"/>
      <c r="BY121" s="5"/>
      <c r="BZ121" s="5"/>
      <c r="CA121" s="5"/>
      <c r="CI121" s="713">
        <v>45565</v>
      </c>
      <c r="CJ121" t="s">
        <v>422</v>
      </c>
      <c r="CK121" t="s">
        <v>884</v>
      </c>
      <c r="CL121" s="5">
        <v>5325891.34</v>
      </c>
      <c r="CM121" s="717">
        <v>361</v>
      </c>
      <c r="CN121" s="5"/>
    </row>
    <row r="122" spans="65:92" x14ac:dyDescent="0.2">
      <c r="BM122" s="5"/>
      <c r="BQ122" s="215"/>
      <c r="BV122" s="5"/>
      <c r="BW122" s="5"/>
      <c r="BX122" s="5"/>
      <c r="BY122" s="5"/>
      <c r="BZ122" s="5"/>
      <c r="CA122" s="5"/>
      <c r="CI122" s="713">
        <v>45565</v>
      </c>
      <c r="CJ122" t="s">
        <v>423</v>
      </c>
      <c r="CK122" t="s">
        <v>375</v>
      </c>
      <c r="CL122" s="5">
        <v>10404245.460000003</v>
      </c>
      <c r="CM122" s="717">
        <v>153</v>
      </c>
      <c r="CN122" s="5"/>
    </row>
    <row r="123" spans="65:92" x14ac:dyDescent="0.2">
      <c r="BM123" s="5"/>
      <c r="BQ123" s="215"/>
      <c r="BV123" s="5"/>
      <c r="BW123" s="5"/>
      <c r="BX123" s="5"/>
      <c r="BY123" s="5"/>
      <c r="BZ123" s="5"/>
      <c r="CA123" s="5"/>
      <c r="CI123" s="713">
        <v>45565</v>
      </c>
      <c r="CJ123" t="s">
        <v>424</v>
      </c>
      <c r="CK123" t="s">
        <v>377</v>
      </c>
      <c r="CL123" s="5">
        <v>11496946.030000001</v>
      </c>
      <c r="CM123" s="717">
        <v>106</v>
      </c>
      <c r="CN123" s="5"/>
    </row>
    <row r="124" spans="65:92" x14ac:dyDescent="0.2">
      <c r="BM124" s="5"/>
      <c r="BQ124" s="215"/>
      <c r="BV124" s="5"/>
      <c r="BW124" s="5"/>
      <c r="BX124" s="5"/>
      <c r="BY124" s="5"/>
      <c r="BZ124" s="5"/>
      <c r="CA124" s="5"/>
      <c r="CI124" s="713">
        <v>45565</v>
      </c>
      <c r="CJ124" t="s">
        <v>425</v>
      </c>
      <c r="CK124" t="s">
        <v>379</v>
      </c>
      <c r="CL124" s="5">
        <v>19985695.570000008</v>
      </c>
      <c r="CM124" s="717">
        <v>104</v>
      </c>
      <c r="CN124" s="5"/>
    </row>
    <row r="125" spans="65:92" x14ac:dyDescent="0.2">
      <c r="BM125" s="5"/>
      <c r="BQ125" s="215"/>
      <c r="BV125" s="5"/>
      <c r="BW125" s="5"/>
      <c r="BX125" s="5"/>
      <c r="BY125" s="5"/>
      <c r="BZ125" s="5"/>
      <c r="CA125" s="5"/>
      <c r="CI125" s="713">
        <v>45565</v>
      </c>
      <c r="CJ125" t="s">
        <v>426</v>
      </c>
      <c r="CK125" t="s">
        <v>381</v>
      </c>
      <c r="CL125" s="5">
        <v>11366789.920000004</v>
      </c>
      <c r="CM125" s="717">
        <v>57</v>
      </c>
      <c r="CN125" s="5"/>
    </row>
    <row r="126" spans="65:92" x14ac:dyDescent="0.2">
      <c r="BM126" s="5"/>
      <c r="BQ126" s="215"/>
      <c r="BV126" s="5"/>
      <c r="BW126" s="5"/>
      <c r="BX126" s="5"/>
      <c r="BY126" s="5"/>
      <c r="BZ126" s="5"/>
      <c r="CA126" s="5"/>
      <c r="CI126" s="713">
        <v>45565</v>
      </c>
      <c r="CJ126" t="s">
        <v>427</v>
      </c>
      <c r="CK126" t="s">
        <v>383</v>
      </c>
      <c r="CL126" s="5">
        <v>9702099.2800000012</v>
      </c>
      <c r="CM126" s="717">
        <v>35</v>
      </c>
      <c r="CN126" s="5"/>
    </row>
    <row r="127" spans="65:92" x14ac:dyDescent="0.2">
      <c r="BM127" s="5"/>
      <c r="BQ127" s="215"/>
      <c r="BV127" s="5"/>
      <c r="BW127" s="5"/>
      <c r="BX127" s="5"/>
      <c r="BY127" s="5"/>
      <c r="BZ127" s="5"/>
      <c r="CA127" s="5"/>
      <c r="CI127" s="713">
        <v>45565</v>
      </c>
      <c r="CJ127" t="s">
        <v>428</v>
      </c>
      <c r="CK127" t="s">
        <v>385</v>
      </c>
      <c r="CL127" s="5">
        <v>10548879.429999998</v>
      </c>
      <c r="CM127" s="717">
        <v>31</v>
      </c>
      <c r="CN127" s="5"/>
    </row>
    <row r="128" spans="65:92" x14ac:dyDescent="0.2">
      <c r="BM128" s="5"/>
      <c r="BQ128" s="215"/>
      <c r="BV128" s="5"/>
      <c r="BW128" s="5"/>
      <c r="BX128" s="5"/>
      <c r="BY128" s="5"/>
      <c r="BZ128" s="5"/>
      <c r="CA128" s="5"/>
      <c r="CI128" s="713">
        <v>45565</v>
      </c>
      <c r="CJ128" t="s">
        <v>429</v>
      </c>
      <c r="CK128" t="s">
        <v>387</v>
      </c>
      <c r="CL128" s="5">
        <v>9707492.6299999971</v>
      </c>
      <c r="CM128" s="717">
        <v>21</v>
      </c>
      <c r="CN128" s="5"/>
    </row>
    <row r="129" spans="65:92" x14ac:dyDescent="0.2">
      <c r="BM129" s="5"/>
      <c r="BQ129" s="215"/>
      <c r="BV129" s="5"/>
      <c r="BW129" s="5"/>
      <c r="BX129" s="5"/>
      <c r="BY129" s="5"/>
      <c r="BZ129" s="5"/>
      <c r="CA129" s="5"/>
      <c r="CI129" s="713">
        <v>45565</v>
      </c>
      <c r="CJ129" t="s">
        <v>430</v>
      </c>
      <c r="CK129" t="s">
        <v>389</v>
      </c>
      <c r="CL129" s="5">
        <v>4825179.4300000006</v>
      </c>
      <c r="CM129" s="717">
        <v>9</v>
      </c>
      <c r="CN129" s="5"/>
    </row>
    <row r="130" spans="65:92" x14ac:dyDescent="0.2">
      <c r="BM130" s="5"/>
      <c r="BQ130" s="215"/>
      <c r="BV130" s="5"/>
      <c r="BW130" s="5"/>
      <c r="BX130" s="5"/>
      <c r="BY130" s="5"/>
      <c r="BZ130" s="5"/>
      <c r="CA130" s="5"/>
      <c r="CI130" s="713">
        <v>45565</v>
      </c>
      <c r="CJ130" t="s">
        <v>431</v>
      </c>
      <c r="CK130" t="s">
        <v>391</v>
      </c>
      <c r="CL130" s="5">
        <v>4306453.72</v>
      </c>
      <c r="CM130" s="717">
        <v>8</v>
      </c>
      <c r="CN130" s="5"/>
    </row>
    <row r="131" spans="65:92" x14ac:dyDescent="0.2">
      <c r="BM131" s="5"/>
      <c r="BQ131" s="215"/>
      <c r="BV131" s="5"/>
      <c r="BW131" s="5"/>
      <c r="BX131" s="5"/>
      <c r="BY131" s="5"/>
      <c r="BZ131" s="5"/>
      <c r="CA131" s="5"/>
      <c r="CI131" s="713">
        <v>45565</v>
      </c>
      <c r="CJ131" t="s">
        <v>432</v>
      </c>
      <c r="CK131" t="s">
        <v>940</v>
      </c>
      <c r="CL131" s="5">
        <v>0</v>
      </c>
      <c r="CM131" s="717">
        <v>0</v>
      </c>
      <c r="CN131" s="5"/>
    </row>
    <row r="132" spans="65:92" x14ac:dyDescent="0.2">
      <c r="BM132" s="5"/>
      <c r="BQ132" s="215"/>
      <c r="BV132" s="5"/>
      <c r="BW132" s="5"/>
      <c r="BX132" s="5"/>
      <c r="BY132" s="5"/>
      <c r="BZ132" s="5"/>
      <c r="CA132" s="5"/>
      <c r="CI132" s="713">
        <v>45565</v>
      </c>
      <c r="CJ132" t="s">
        <v>433</v>
      </c>
      <c r="CK132" t="s">
        <v>884</v>
      </c>
      <c r="CL132" s="5">
        <v>162850.68</v>
      </c>
      <c r="CM132" s="717">
        <v>3</v>
      </c>
      <c r="CN132" s="5"/>
    </row>
    <row r="133" spans="65:92" x14ac:dyDescent="0.2">
      <c r="BM133" s="5"/>
      <c r="BQ133" s="215"/>
      <c r="BV133" s="5"/>
      <c r="BW133" s="5"/>
      <c r="BX133" s="5"/>
      <c r="BY133" s="5"/>
      <c r="BZ133" s="5"/>
      <c r="CA133" s="5"/>
      <c r="CI133" s="713">
        <v>45565</v>
      </c>
      <c r="CJ133" t="s">
        <v>434</v>
      </c>
      <c r="CK133" t="s">
        <v>375</v>
      </c>
      <c r="CL133" s="5">
        <v>2478102.52</v>
      </c>
      <c r="CM133" s="717">
        <v>18</v>
      </c>
      <c r="CN133" s="5"/>
    </row>
    <row r="134" spans="65:92" x14ac:dyDescent="0.2">
      <c r="BM134" s="5"/>
      <c r="BQ134" s="215"/>
      <c r="BV134" s="5"/>
      <c r="BW134" s="5"/>
      <c r="BX134" s="5"/>
      <c r="BY134" s="5"/>
      <c r="BZ134" s="5"/>
      <c r="CA134" s="5"/>
      <c r="CI134" s="713">
        <v>45565</v>
      </c>
      <c r="CJ134" t="s">
        <v>435</v>
      </c>
      <c r="CK134" t="s">
        <v>377</v>
      </c>
      <c r="CL134" s="5">
        <v>2131546.12</v>
      </c>
      <c r="CM134" s="717">
        <v>32</v>
      </c>
      <c r="CN134" s="5"/>
    </row>
    <row r="135" spans="65:92" x14ac:dyDescent="0.2">
      <c r="BM135" s="5"/>
      <c r="BQ135" s="215"/>
      <c r="BV135" s="5"/>
      <c r="BW135" s="5"/>
      <c r="BX135" s="5"/>
      <c r="BY135" s="5"/>
      <c r="BZ135" s="5"/>
      <c r="CA135" s="5"/>
      <c r="CI135" s="713">
        <v>45565</v>
      </c>
      <c r="CJ135" t="s">
        <v>436</v>
      </c>
      <c r="CK135" t="s">
        <v>379</v>
      </c>
      <c r="CL135" s="5">
        <v>2949279.96</v>
      </c>
      <c r="CM135" s="717">
        <v>37</v>
      </c>
      <c r="CN135" s="5"/>
    </row>
    <row r="136" spans="65:92" x14ac:dyDescent="0.2">
      <c r="BM136" s="5"/>
      <c r="BQ136" s="215"/>
      <c r="BV136" s="5"/>
      <c r="BW136" s="5"/>
      <c r="BX136" s="5"/>
      <c r="BY136" s="5"/>
      <c r="BZ136" s="5"/>
      <c r="CA136" s="5"/>
      <c r="CI136" s="713">
        <v>45565</v>
      </c>
      <c r="CJ136" t="s">
        <v>437</v>
      </c>
      <c r="CK136" t="s">
        <v>381</v>
      </c>
      <c r="CL136" s="5">
        <v>9448756.9099999964</v>
      </c>
      <c r="CM136" s="717">
        <v>70</v>
      </c>
      <c r="CN136" s="5"/>
    </row>
    <row r="137" spans="65:92" x14ac:dyDescent="0.2">
      <c r="BM137" s="5"/>
      <c r="BQ137" s="215"/>
      <c r="BV137" s="5"/>
      <c r="BW137" s="5"/>
      <c r="BX137" s="5"/>
      <c r="BY137" s="5"/>
      <c r="BZ137" s="5"/>
      <c r="CA137" s="5"/>
      <c r="CI137" s="713">
        <v>45565</v>
      </c>
      <c r="CJ137" t="s">
        <v>438</v>
      </c>
      <c r="CK137" t="s">
        <v>383</v>
      </c>
      <c r="CL137" s="5">
        <v>6589459.6799999997</v>
      </c>
      <c r="CM137" s="717">
        <v>79</v>
      </c>
      <c r="CN137" s="5"/>
    </row>
    <row r="138" spans="65:92" x14ac:dyDescent="0.2">
      <c r="BM138" s="5"/>
      <c r="BQ138" s="215"/>
      <c r="BV138" s="5"/>
      <c r="BW138" s="5"/>
      <c r="BX138" s="5"/>
      <c r="BY138" s="5"/>
      <c r="BZ138" s="5"/>
      <c r="CA138" s="5"/>
      <c r="CI138" s="713">
        <v>45565</v>
      </c>
      <c r="CJ138" t="s">
        <v>439</v>
      </c>
      <c r="CK138" t="s">
        <v>385</v>
      </c>
      <c r="CL138" s="5">
        <v>9236675.179999996</v>
      </c>
      <c r="CM138" s="717">
        <v>127</v>
      </c>
      <c r="CN138" s="5"/>
    </row>
    <row r="139" spans="65:92" x14ac:dyDescent="0.2">
      <c r="BM139" s="5"/>
      <c r="BQ139" s="215"/>
      <c r="BV139" s="5"/>
      <c r="BW139" s="5"/>
      <c r="BX139" s="5"/>
      <c r="BY139" s="5"/>
      <c r="BZ139" s="5"/>
      <c r="CA139" s="5"/>
      <c r="CI139" s="713">
        <v>45565</v>
      </c>
      <c r="CJ139" t="s">
        <v>440</v>
      </c>
      <c r="CK139" t="s">
        <v>387</v>
      </c>
      <c r="CL139" s="5">
        <v>17883991.73</v>
      </c>
      <c r="CM139" s="717">
        <v>141</v>
      </c>
      <c r="CN139" s="5"/>
    </row>
    <row r="140" spans="65:92" x14ac:dyDescent="0.2">
      <c r="BM140" s="5"/>
      <c r="BQ140" s="215"/>
      <c r="BV140" s="5"/>
      <c r="BW140" s="5"/>
      <c r="BX140" s="5"/>
      <c r="BY140" s="5"/>
      <c r="BZ140" s="5"/>
      <c r="CA140" s="5"/>
      <c r="CI140" s="713">
        <v>45565</v>
      </c>
      <c r="CJ140" t="s">
        <v>441</v>
      </c>
      <c r="CK140" t="s">
        <v>389</v>
      </c>
      <c r="CL140" s="5">
        <v>17120075.060000006</v>
      </c>
      <c r="CM140" s="717">
        <v>132</v>
      </c>
      <c r="CN140" s="5"/>
    </row>
    <row r="141" spans="65:92" x14ac:dyDescent="0.2">
      <c r="BM141" s="5"/>
      <c r="BQ141" s="215"/>
      <c r="BV141" s="5"/>
      <c r="BW141" s="5"/>
      <c r="BX141" s="5"/>
      <c r="BY141" s="5"/>
      <c r="BZ141" s="5"/>
      <c r="CA141" s="5"/>
      <c r="CI141" s="713">
        <v>45565</v>
      </c>
      <c r="CJ141" t="s">
        <v>442</v>
      </c>
      <c r="CK141" t="s">
        <v>391</v>
      </c>
      <c r="CL141" s="5">
        <v>29668934.970000003</v>
      </c>
      <c r="CM141" s="717">
        <v>246</v>
      </c>
      <c r="CN141" s="5"/>
    </row>
    <row r="142" spans="65:92" x14ac:dyDescent="0.2">
      <c r="BM142" s="5"/>
      <c r="BQ142" s="215"/>
      <c r="BV142" s="5"/>
      <c r="BW142" s="5"/>
      <c r="BX142" s="5"/>
      <c r="BY142" s="5"/>
      <c r="BZ142" s="5"/>
      <c r="CA142" s="5"/>
      <c r="CI142" s="713">
        <v>45565</v>
      </c>
      <c r="CJ142" t="s">
        <v>443</v>
      </c>
      <c r="CK142" t="s">
        <v>940</v>
      </c>
      <c r="CL142" s="5">
        <v>0</v>
      </c>
      <c r="CM142" s="717">
        <v>0</v>
      </c>
      <c r="CN142" s="5"/>
    </row>
    <row r="143" spans="65:92" x14ac:dyDescent="0.2">
      <c r="BM143" s="5"/>
      <c r="BQ143" s="215"/>
      <c r="BV143" s="5"/>
      <c r="BW143" s="5"/>
      <c r="BX143" s="5"/>
      <c r="BY143" s="5"/>
      <c r="BZ143" s="5"/>
      <c r="CA143" s="5"/>
      <c r="CI143" s="713">
        <v>45565</v>
      </c>
      <c r="CJ143" t="s">
        <v>444</v>
      </c>
      <c r="CK143" t="s">
        <v>941</v>
      </c>
      <c r="CL143" s="5">
        <v>362668019.80000049</v>
      </c>
      <c r="CM143" s="717">
        <v>1738</v>
      </c>
      <c r="CN143" s="5"/>
    </row>
    <row r="144" spans="65:92" x14ac:dyDescent="0.2">
      <c r="BM144" s="5"/>
      <c r="BQ144" s="215"/>
      <c r="BV144" s="5"/>
      <c r="BW144" s="5"/>
      <c r="BX144" s="5"/>
      <c r="BY144" s="5"/>
      <c r="BZ144" s="5"/>
      <c r="CA144" s="5"/>
      <c r="CI144" s="713">
        <v>45565</v>
      </c>
      <c r="CJ144" t="s">
        <v>445</v>
      </c>
      <c r="CK144" t="s">
        <v>942</v>
      </c>
      <c r="CL144" s="5">
        <v>109176103.63000003</v>
      </c>
      <c r="CM144" s="717">
        <v>697</v>
      </c>
      <c r="CN144" s="5"/>
    </row>
    <row r="145" spans="65:92" x14ac:dyDescent="0.2">
      <c r="BM145" s="5"/>
      <c r="BQ145" s="215"/>
      <c r="BV145" s="5"/>
      <c r="BW145" s="5"/>
      <c r="BX145" s="5"/>
      <c r="BY145" s="5"/>
      <c r="BZ145" s="5"/>
      <c r="CA145" s="5"/>
      <c r="CI145" s="713">
        <v>45565</v>
      </c>
      <c r="CJ145" t="s">
        <v>446</v>
      </c>
      <c r="CK145" t="s">
        <v>943</v>
      </c>
      <c r="CL145" s="5">
        <v>61105406.100000009</v>
      </c>
      <c r="CM145" s="717">
        <v>245</v>
      </c>
      <c r="CN145" s="5"/>
    </row>
    <row r="146" spans="65:92" x14ac:dyDescent="0.2">
      <c r="BM146" s="5"/>
      <c r="BQ146" s="215"/>
      <c r="BV146" s="5"/>
      <c r="BW146" s="5"/>
      <c r="BX146" s="5"/>
      <c r="BY146" s="5"/>
      <c r="BZ146" s="5"/>
      <c r="CA146" s="5"/>
      <c r="CI146" s="713">
        <v>45565</v>
      </c>
      <c r="CJ146" t="s">
        <v>447</v>
      </c>
      <c r="CK146" t="s">
        <v>944</v>
      </c>
      <c r="CL146" s="5">
        <v>57641288.620000005</v>
      </c>
      <c r="CM146" s="717">
        <v>465</v>
      </c>
      <c r="CN146" s="5"/>
    </row>
    <row r="147" spans="65:92" x14ac:dyDescent="0.2">
      <c r="BM147" s="5"/>
      <c r="BQ147" s="215"/>
      <c r="BV147" s="5"/>
      <c r="BW147" s="5"/>
      <c r="BX147" s="5"/>
      <c r="BY147" s="5"/>
      <c r="BZ147" s="5"/>
      <c r="CA147" s="5"/>
      <c r="CI147" s="713">
        <v>45565</v>
      </c>
      <c r="CJ147" t="s">
        <v>448</v>
      </c>
      <c r="CK147" t="s">
        <v>945</v>
      </c>
      <c r="CL147" s="5">
        <v>0</v>
      </c>
      <c r="CM147" s="717">
        <v>0</v>
      </c>
      <c r="CN147" s="5"/>
    </row>
    <row r="148" spans="65:92" x14ac:dyDescent="0.2">
      <c r="BM148" s="5"/>
      <c r="BQ148" s="215"/>
      <c r="BV148" s="5"/>
      <c r="BW148" s="5"/>
      <c r="BX148" s="5"/>
      <c r="BY148" s="5"/>
      <c r="BZ148" s="5"/>
      <c r="CA148" s="5"/>
      <c r="CI148" s="713">
        <v>45565</v>
      </c>
      <c r="CJ148" t="s">
        <v>449</v>
      </c>
      <c r="CK148" t="s">
        <v>946</v>
      </c>
      <c r="CL148" s="5">
        <v>0</v>
      </c>
      <c r="CM148" s="717">
        <v>0</v>
      </c>
      <c r="CN148" s="5"/>
    </row>
    <row r="149" spans="65:92" x14ac:dyDescent="0.2">
      <c r="BM149" s="5"/>
      <c r="BQ149" s="215"/>
      <c r="BV149" s="5"/>
      <c r="BW149" s="5"/>
      <c r="BX149" s="5"/>
      <c r="BY149" s="5"/>
      <c r="BZ149" s="5"/>
      <c r="CA149" s="5"/>
      <c r="CI149" s="713">
        <v>45565</v>
      </c>
      <c r="CJ149" t="s">
        <v>450</v>
      </c>
      <c r="CK149" t="s">
        <v>947</v>
      </c>
      <c r="CL149" s="5">
        <v>21063681.050000008</v>
      </c>
      <c r="CM149" s="717">
        <v>142</v>
      </c>
      <c r="CN149" s="5"/>
    </row>
    <row r="150" spans="65:92" x14ac:dyDescent="0.2">
      <c r="BM150" s="5"/>
      <c r="BQ150" s="215"/>
      <c r="BV150" s="5"/>
      <c r="BW150" s="5"/>
      <c r="BX150" s="5"/>
      <c r="BY150" s="5"/>
      <c r="BZ150" s="5"/>
      <c r="CA150" s="5"/>
      <c r="CI150" s="713">
        <v>45565</v>
      </c>
      <c r="CJ150" t="s">
        <v>451</v>
      </c>
      <c r="CK150" t="s">
        <v>948</v>
      </c>
      <c r="CL150" s="5">
        <v>0</v>
      </c>
      <c r="CM150" s="717">
        <v>0</v>
      </c>
      <c r="CN150" s="5"/>
    </row>
    <row r="151" spans="65:92" x14ac:dyDescent="0.2">
      <c r="BM151" s="5"/>
      <c r="BQ151" s="215"/>
      <c r="BV151" s="5"/>
      <c r="BW151" s="5"/>
      <c r="BX151" s="5"/>
      <c r="BY151" s="5"/>
      <c r="BZ151" s="5"/>
      <c r="CA151" s="5"/>
      <c r="CI151" s="713">
        <v>45565</v>
      </c>
      <c r="CJ151" t="s">
        <v>452</v>
      </c>
      <c r="CK151" t="s">
        <v>949</v>
      </c>
      <c r="CL151" s="5">
        <v>991172.56999999983</v>
      </c>
      <c r="CM151" s="717">
        <v>18</v>
      </c>
      <c r="CN151" s="5"/>
    </row>
    <row r="152" spans="65:92" x14ac:dyDescent="0.2">
      <c r="BM152" s="5"/>
      <c r="BQ152" s="215"/>
      <c r="BV152" s="5"/>
      <c r="BW152" s="5"/>
      <c r="BX152" s="5"/>
      <c r="BY152" s="5"/>
      <c r="BZ152" s="5"/>
      <c r="CA152" s="5"/>
      <c r="CI152" s="713">
        <v>45565</v>
      </c>
      <c r="CJ152" t="s">
        <v>453</v>
      </c>
      <c r="CK152" t="s">
        <v>370</v>
      </c>
      <c r="CL152" s="5">
        <v>377550.38</v>
      </c>
      <c r="CM152" s="717">
        <v>1</v>
      </c>
      <c r="CN152" s="5"/>
    </row>
    <row r="153" spans="65:92" x14ac:dyDescent="0.2">
      <c r="BM153" s="5"/>
      <c r="BQ153" s="215"/>
      <c r="BV153" s="5"/>
      <c r="BW153" s="5"/>
      <c r="BX153" s="5"/>
      <c r="BY153" s="5"/>
      <c r="BZ153" s="5"/>
      <c r="CA153" s="5"/>
      <c r="CI153" s="713">
        <v>45565</v>
      </c>
      <c r="CJ153" t="s">
        <v>454</v>
      </c>
      <c r="CK153" t="s">
        <v>950</v>
      </c>
      <c r="CL153" s="5">
        <v>14430.53</v>
      </c>
      <c r="CM153" s="717">
        <v>1</v>
      </c>
      <c r="CN153" s="5"/>
    </row>
    <row r="154" spans="65:92" x14ac:dyDescent="0.2">
      <c r="BM154" s="5"/>
      <c r="BQ154" s="215"/>
      <c r="BV154" s="5"/>
      <c r="BW154" s="5"/>
      <c r="BX154" s="5"/>
      <c r="BY154" s="5"/>
      <c r="BZ154" s="5"/>
      <c r="CA154" s="5"/>
      <c r="CI154" s="713">
        <v>45565</v>
      </c>
      <c r="CJ154" t="s">
        <v>455</v>
      </c>
      <c r="CK154" t="s">
        <v>951</v>
      </c>
      <c r="CL154" s="5">
        <v>654587229.1799984</v>
      </c>
      <c r="CM154" s="717">
        <v>3544</v>
      </c>
      <c r="CN154" s="5"/>
    </row>
    <row r="155" spans="65:92" x14ac:dyDescent="0.2">
      <c r="BM155" s="5"/>
      <c r="BQ155" s="215"/>
      <c r="BV155" s="5"/>
      <c r="BW155" s="5"/>
      <c r="BX155" s="5"/>
      <c r="BY155" s="5"/>
      <c r="BZ155" s="5"/>
      <c r="CA155" s="5"/>
      <c r="CI155" s="713">
        <v>45565</v>
      </c>
      <c r="CJ155" t="s">
        <v>456</v>
      </c>
      <c r="CK155" t="s">
        <v>952</v>
      </c>
      <c r="CL155" s="5">
        <v>0</v>
      </c>
      <c r="CM155" s="717">
        <v>0</v>
      </c>
      <c r="CN155" s="5"/>
    </row>
    <row r="156" spans="65:92" x14ac:dyDescent="0.2">
      <c r="BM156" s="5"/>
      <c r="BQ156" s="215"/>
      <c r="BV156" s="5"/>
      <c r="BW156" s="5"/>
      <c r="BX156" s="5"/>
      <c r="BY156" s="5"/>
      <c r="BZ156" s="5"/>
      <c r="CA156" s="5"/>
      <c r="CI156" s="713">
        <v>45565</v>
      </c>
      <c r="CJ156" t="s">
        <v>457</v>
      </c>
      <c r="CK156" t="s">
        <v>953</v>
      </c>
      <c r="CL156" s="5">
        <v>0</v>
      </c>
      <c r="CM156" s="717">
        <v>0</v>
      </c>
      <c r="CN156" s="5"/>
    </row>
    <row r="157" spans="65:92" x14ac:dyDescent="0.2">
      <c r="BM157" s="5"/>
      <c r="BQ157" s="215"/>
      <c r="BV157" s="5"/>
      <c r="BW157" s="5"/>
      <c r="BX157" s="5"/>
      <c r="BY157" s="5"/>
      <c r="BZ157" s="5"/>
      <c r="CA157" s="5"/>
      <c r="CI157" s="713">
        <v>45565</v>
      </c>
      <c r="CJ157" t="s">
        <v>458</v>
      </c>
      <c r="CK157" t="s">
        <v>954</v>
      </c>
      <c r="CL157" s="5">
        <v>28379346.800000001</v>
      </c>
      <c r="CM157" s="717">
        <v>65</v>
      </c>
      <c r="CN157" s="5"/>
    </row>
    <row r="158" spans="65:92" x14ac:dyDescent="0.2">
      <c r="BM158" s="5"/>
      <c r="BQ158" s="215"/>
      <c r="BV158" s="5"/>
      <c r="BW158" s="5"/>
      <c r="BX158" s="5"/>
      <c r="BY158" s="5"/>
      <c r="BZ158" s="5"/>
      <c r="CA158" s="5"/>
      <c r="CI158" s="713">
        <v>45565</v>
      </c>
      <c r="CJ158" t="s">
        <v>459</v>
      </c>
      <c r="CK158" t="s">
        <v>883</v>
      </c>
      <c r="CL158" s="5">
        <v>0</v>
      </c>
      <c r="CM158" s="717">
        <v>0</v>
      </c>
      <c r="CN158" s="5"/>
    </row>
    <row r="159" spans="65:92" x14ac:dyDescent="0.2">
      <c r="BM159" s="5"/>
      <c r="BQ159" s="215"/>
      <c r="BV159" s="5"/>
      <c r="BW159" s="5"/>
      <c r="BX159" s="5"/>
      <c r="BY159" s="5"/>
      <c r="BZ159" s="5"/>
      <c r="CA159" s="5"/>
      <c r="CI159" s="713">
        <v>45565</v>
      </c>
      <c r="CJ159" t="s">
        <v>460</v>
      </c>
      <c r="CK159" t="s">
        <v>885</v>
      </c>
      <c r="CL159" s="5">
        <v>679213076.61999822</v>
      </c>
      <c r="CM159" s="717">
        <v>3606</v>
      </c>
      <c r="CN159" s="5">
        <v>1094978363.9800003</v>
      </c>
    </row>
    <row r="160" spans="65:92" x14ac:dyDescent="0.2">
      <c r="BM160" s="5"/>
      <c r="BQ160" s="215"/>
      <c r="BV160" s="5"/>
      <c r="BW160" s="5"/>
      <c r="BX160" s="5"/>
      <c r="BY160" s="5"/>
      <c r="BZ160" s="5"/>
      <c r="CA160" s="5"/>
      <c r="CI160" s="713">
        <v>45565</v>
      </c>
      <c r="CJ160" t="s">
        <v>461</v>
      </c>
      <c r="CK160" t="s">
        <v>886</v>
      </c>
      <c r="CL160" s="5">
        <v>3718449.59</v>
      </c>
      <c r="CM160" s="717">
        <v>2</v>
      </c>
      <c r="CN160" s="5">
        <v>4174882.89</v>
      </c>
    </row>
    <row r="161" spans="65:92" x14ac:dyDescent="0.2">
      <c r="BM161" s="5"/>
      <c r="BQ161" s="215"/>
      <c r="BV161" s="5"/>
      <c r="BW161" s="5"/>
      <c r="BX161" s="5"/>
      <c r="BY161" s="5"/>
      <c r="BZ161" s="5"/>
      <c r="CA161" s="5"/>
      <c r="CI161" s="713">
        <v>45565</v>
      </c>
      <c r="CJ161" t="s">
        <v>462</v>
      </c>
      <c r="CK161" t="s">
        <v>887</v>
      </c>
      <c r="CL161" s="5">
        <v>0</v>
      </c>
      <c r="CM161" s="717">
        <v>0</v>
      </c>
      <c r="CN161" s="5">
        <v>0</v>
      </c>
    </row>
    <row r="162" spans="65:92" x14ac:dyDescent="0.2">
      <c r="BM162" s="5"/>
      <c r="BQ162" s="215"/>
      <c r="BV162" s="5"/>
      <c r="BW162" s="5"/>
      <c r="BX162" s="5"/>
      <c r="BY162" s="5"/>
      <c r="BZ162" s="5"/>
      <c r="CA162" s="5"/>
      <c r="CI162" s="713">
        <v>45565</v>
      </c>
      <c r="CJ162" t="s">
        <v>463</v>
      </c>
      <c r="CK162" t="s">
        <v>888</v>
      </c>
      <c r="CL162" s="5">
        <v>35049.769999999997</v>
      </c>
      <c r="CM162" s="717">
        <v>1</v>
      </c>
      <c r="CN162" s="5">
        <v>450000</v>
      </c>
    </row>
    <row r="163" spans="65:92" x14ac:dyDescent="0.2">
      <c r="BM163" s="5"/>
      <c r="BQ163" s="215"/>
      <c r="BV163" s="5"/>
      <c r="BW163" s="5"/>
      <c r="BX163" s="5"/>
      <c r="BY163" s="5"/>
      <c r="BZ163" s="5"/>
      <c r="CA163" s="5"/>
      <c r="CI163" s="713">
        <v>45565</v>
      </c>
      <c r="CJ163" t="s">
        <v>464</v>
      </c>
      <c r="CK163" t="s">
        <v>883</v>
      </c>
      <c r="CL163" s="5">
        <v>0</v>
      </c>
      <c r="CM163" s="717">
        <v>0</v>
      </c>
      <c r="CN163" s="5">
        <v>0</v>
      </c>
    </row>
    <row r="164" spans="65:92" x14ac:dyDescent="0.2">
      <c r="BM164" s="5"/>
      <c r="BQ164" s="215"/>
      <c r="BV164" s="5"/>
      <c r="BW164" s="5"/>
      <c r="BX164" s="5"/>
      <c r="BY164" s="5"/>
      <c r="BZ164" s="5"/>
      <c r="CA164" s="5"/>
      <c r="CI164" s="713">
        <v>45565</v>
      </c>
      <c r="CJ164" t="s">
        <v>466</v>
      </c>
      <c r="CK164" t="s">
        <v>889</v>
      </c>
      <c r="CL164" s="5">
        <v>402198424.61000019</v>
      </c>
      <c r="CM164" s="717">
        <v>1818</v>
      </c>
      <c r="CN164" s="5">
        <v>623299260.92000008</v>
      </c>
    </row>
    <row r="165" spans="65:92" x14ac:dyDescent="0.2">
      <c r="BM165" s="5"/>
      <c r="BQ165" s="215"/>
      <c r="BV165" s="5"/>
      <c r="BW165" s="5"/>
      <c r="BX165" s="5"/>
      <c r="BY165" s="5"/>
      <c r="BZ165" s="5"/>
      <c r="CA165" s="5"/>
      <c r="CI165" s="713">
        <v>45565</v>
      </c>
      <c r="CJ165" t="s">
        <v>467</v>
      </c>
      <c r="CK165" t="s">
        <v>890</v>
      </c>
      <c r="CL165" s="5">
        <v>32123973.949999999</v>
      </c>
      <c r="CM165" s="717">
        <v>167</v>
      </c>
      <c r="CN165" s="5">
        <v>49232437.660000011</v>
      </c>
    </row>
    <row r="166" spans="65:92" x14ac:dyDescent="0.2">
      <c r="BM166" s="5"/>
      <c r="BQ166" s="215"/>
      <c r="BV166" s="5"/>
      <c r="BW166" s="5"/>
      <c r="BX166" s="5"/>
      <c r="BY166" s="5"/>
      <c r="BZ166" s="5"/>
      <c r="CA166" s="5"/>
      <c r="CI166" s="713">
        <v>45565</v>
      </c>
      <c r="CJ166" t="s">
        <v>468</v>
      </c>
      <c r="CK166" t="s">
        <v>891</v>
      </c>
      <c r="CL166" s="5">
        <v>28098200.999999996</v>
      </c>
      <c r="CM166" s="717">
        <v>95</v>
      </c>
      <c r="CN166" s="5">
        <v>46589158.619999997</v>
      </c>
    </row>
    <row r="167" spans="65:92" x14ac:dyDescent="0.2">
      <c r="BM167" s="5"/>
      <c r="BQ167" s="215"/>
      <c r="BV167" s="5"/>
      <c r="BW167" s="5"/>
      <c r="BX167" s="5"/>
      <c r="BY167" s="5"/>
      <c r="BZ167" s="5"/>
      <c r="CA167" s="5"/>
      <c r="CI167" s="713">
        <v>45565</v>
      </c>
      <c r="CJ167" t="s">
        <v>469</v>
      </c>
      <c r="CK167" t="s">
        <v>892</v>
      </c>
      <c r="CL167" s="5">
        <v>29711116.610000007</v>
      </c>
      <c r="CM167" s="717">
        <v>119</v>
      </c>
      <c r="CN167" s="5">
        <v>45862297.359999999</v>
      </c>
    </row>
    <row r="168" spans="65:92" x14ac:dyDescent="0.2">
      <c r="BM168" s="5"/>
      <c r="BQ168" s="215"/>
      <c r="BV168" s="5"/>
      <c r="BW168" s="5"/>
      <c r="BX168" s="5"/>
      <c r="BY168" s="5"/>
      <c r="BZ168" s="5"/>
      <c r="CA168" s="5"/>
      <c r="CI168" s="713">
        <v>45565</v>
      </c>
      <c r="CJ168" t="s">
        <v>470</v>
      </c>
      <c r="CK168" t="s">
        <v>893</v>
      </c>
      <c r="CL168" s="5">
        <v>57170887.830000013</v>
      </c>
      <c r="CM168" s="717">
        <v>274</v>
      </c>
      <c r="CN168" s="5">
        <v>95484976.229999974</v>
      </c>
    </row>
    <row r="169" spans="65:92" x14ac:dyDescent="0.2">
      <c r="BM169" s="5"/>
      <c r="BQ169" s="215"/>
      <c r="BV169" s="5"/>
      <c r="BW169" s="5"/>
      <c r="BX169" s="5"/>
      <c r="BY169" s="5"/>
      <c r="BZ169" s="5"/>
      <c r="CA169" s="5"/>
      <c r="CI169" s="713">
        <v>45565</v>
      </c>
      <c r="CJ169" t="s">
        <v>471</v>
      </c>
      <c r="CK169" t="s">
        <v>894</v>
      </c>
      <c r="CL169" s="5">
        <v>0</v>
      </c>
      <c r="CM169" s="717">
        <v>0</v>
      </c>
      <c r="CN169" s="5">
        <v>0</v>
      </c>
    </row>
    <row r="170" spans="65:92" x14ac:dyDescent="0.2">
      <c r="BM170" s="5"/>
      <c r="BQ170" s="215"/>
      <c r="BV170" s="5"/>
      <c r="BW170" s="5"/>
      <c r="BX170" s="5"/>
      <c r="BY170" s="5"/>
      <c r="BZ170" s="5"/>
      <c r="CA170" s="5"/>
      <c r="CI170" s="713">
        <v>45565</v>
      </c>
      <c r="CJ170" t="s">
        <v>472</v>
      </c>
      <c r="CK170" t="s">
        <v>895</v>
      </c>
      <c r="CL170" s="5">
        <v>2643671.1999999993</v>
      </c>
      <c r="CM170" s="717">
        <v>13</v>
      </c>
      <c r="CN170" s="5">
        <v>3312929</v>
      </c>
    </row>
    <row r="171" spans="65:92" x14ac:dyDescent="0.2">
      <c r="BM171" s="5"/>
      <c r="BQ171" s="215"/>
      <c r="BV171" s="5"/>
      <c r="BW171" s="5"/>
      <c r="BX171" s="5"/>
      <c r="BY171" s="5"/>
      <c r="BZ171" s="5"/>
      <c r="CA171" s="5"/>
      <c r="CI171" s="713">
        <v>45565</v>
      </c>
      <c r="CJ171" t="s">
        <v>473</v>
      </c>
      <c r="CK171" t="s">
        <v>896</v>
      </c>
      <c r="CL171" s="5">
        <v>14218451.060000004</v>
      </c>
      <c r="CM171" s="717">
        <v>115</v>
      </c>
      <c r="CN171" s="5">
        <v>32423820.849999998</v>
      </c>
    </row>
    <row r="172" spans="65:92" x14ac:dyDescent="0.2">
      <c r="BM172" s="5"/>
      <c r="BQ172" s="215"/>
      <c r="BV172" s="5"/>
      <c r="BW172" s="5"/>
      <c r="BX172" s="5"/>
      <c r="BY172" s="5"/>
      <c r="BZ172" s="5"/>
      <c r="CA172" s="5"/>
      <c r="CI172" s="713">
        <v>45565</v>
      </c>
      <c r="CJ172" t="s">
        <v>474</v>
      </c>
      <c r="CK172" t="s">
        <v>883</v>
      </c>
      <c r="CL172" s="5">
        <v>4143473.1900000004</v>
      </c>
      <c r="CM172" s="717">
        <v>9</v>
      </c>
      <c r="CN172" s="5">
        <v>7213366.9800000004</v>
      </c>
    </row>
    <row r="173" spans="65:92" x14ac:dyDescent="0.2">
      <c r="BM173" s="5"/>
      <c r="BQ173" s="215"/>
      <c r="BV173" s="5"/>
      <c r="BW173" s="5"/>
      <c r="BX173" s="5"/>
      <c r="BY173" s="5"/>
      <c r="BZ173" s="5"/>
      <c r="CA173" s="5"/>
      <c r="CI173" s="713">
        <v>45565</v>
      </c>
      <c r="CJ173" t="s">
        <v>955</v>
      </c>
      <c r="CK173" t="s">
        <v>956</v>
      </c>
      <c r="CL173" s="5">
        <v>112658376.52999993</v>
      </c>
      <c r="CM173" s="717">
        <v>614</v>
      </c>
      <c r="CN173" s="5">
        <v>196184999.25</v>
      </c>
    </row>
    <row r="174" spans="65:92" x14ac:dyDescent="0.2">
      <c r="BM174" s="5"/>
      <c r="BQ174" s="215"/>
      <c r="BV174" s="5"/>
      <c r="BW174" s="5"/>
      <c r="BX174" s="5"/>
      <c r="BY174" s="5"/>
      <c r="BZ174" s="5"/>
      <c r="CA174" s="5"/>
      <c r="CI174" s="713">
        <v>45565</v>
      </c>
      <c r="CJ174" t="s">
        <v>475</v>
      </c>
      <c r="CK174">
        <v>1</v>
      </c>
      <c r="CL174" s="5">
        <v>3828312.02</v>
      </c>
      <c r="CM174" s="717">
        <v>1</v>
      </c>
      <c r="CN174" s="5"/>
    </row>
    <row r="175" spans="65:92" x14ac:dyDescent="0.2">
      <c r="BM175" s="5"/>
      <c r="BQ175" s="215"/>
      <c r="BV175" s="5"/>
      <c r="BW175" s="5"/>
      <c r="BX175" s="5"/>
      <c r="BY175" s="5"/>
      <c r="BZ175" s="5"/>
      <c r="CA175" s="5"/>
      <c r="CI175" s="713">
        <v>45565</v>
      </c>
      <c r="CJ175" t="s">
        <v>476</v>
      </c>
      <c r="CK175">
        <v>2</v>
      </c>
      <c r="CL175" s="5">
        <v>3604489.25</v>
      </c>
      <c r="CM175" s="717">
        <v>2</v>
      </c>
      <c r="CN175" s="5"/>
    </row>
    <row r="176" spans="65:92" x14ac:dyDescent="0.2">
      <c r="BM176" s="5"/>
      <c r="BQ176" s="215"/>
      <c r="BV176" s="5"/>
      <c r="BW176" s="5"/>
      <c r="BX176" s="5"/>
      <c r="BY176" s="5"/>
      <c r="BZ176" s="5"/>
      <c r="CA176" s="5"/>
      <c r="CI176" s="713">
        <v>45565</v>
      </c>
      <c r="CJ176" t="s">
        <v>477</v>
      </c>
      <c r="CK176">
        <v>3</v>
      </c>
      <c r="CL176" s="5">
        <v>3467674.92</v>
      </c>
      <c r="CM176" s="717">
        <v>2</v>
      </c>
      <c r="CN176" s="5"/>
    </row>
    <row r="177" spans="65:92" x14ac:dyDescent="0.2">
      <c r="BM177" s="5"/>
      <c r="BQ177" s="215"/>
      <c r="BV177" s="5"/>
      <c r="BW177" s="5"/>
      <c r="BX177" s="5"/>
      <c r="BY177" s="5"/>
      <c r="BZ177" s="5"/>
      <c r="CA177" s="5"/>
      <c r="CI177" s="713">
        <v>45565</v>
      </c>
      <c r="CJ177" t="s">
        <v>478</v>
      </c>
      <c r="CK177">
        <v>4</v>
      </c>
      <c r="CL177" s="5">
        <v>3394193.37</v>
      </c>
      <c r="CM177" s="717">
        <v>1</v>
      </c>
      <c r="CN177" s="5"/>
    </row>
    <row r="178" spans="65:92" x14ac:dyDescent="0.2">
      <c r="BM178" s="5"/>
      <c r="BQ178" s="215"/>
      <c r="BV178" s="5"/>
      <c r="BW178" s="5"/>
      <c r="BX178" s="5"/>
      <c r="BY178" s="5"/>
      <c r="BZ178" s="5"/>
      <c r="CA178" s="5"/>
      <c r="CI178" s="713">
        <v>45565</v>
      </c>
      <c r="CJ178" t="s">
        <v>479</v>
      </c>
      <c r="CK178">
        <v>5</v>
      </c>
      <c r="CL178" s="5">
        <v>3373291.07</v>
      </c>
      <c r="CM178" s="717">
        <v>1</v>
      </c>
      <c r="CN178" s="5"/>
    </row>
    <row r="179" spans="65:92" x14ac:dyDescent="0.2">
      <c r="BM179" s="5"/>
      <c r="BQ179" s="215"/>
      <c r="BV179" s="5"/>
      <c r="BW179" s="5"/>
      <c r="BX179" s="5"/>
      <c r="BY179" s="5"/>
      <c r="BZ179" s="5"/>
      <c r="CA179" s="5"/>
      <c r="CI179" s="713">
        <v>45565</v>
      </c>
      <c r="CJ179" t="s">
        <v>480</v>
      </c>
      <c r="CK179">
        <v>6</v>
      </c>
      <c r="CL179" s="5">
        <v>3325410.71</v>
      </c>
      <c r="CM179" s="717">
        <v>1</v>
      </c>
      <c r="CN179" s="5"/>
    </row>
    <row r="180" spans="65:92" x14ac:dyDescent="0.2">
      <c r="BM180" s="5"/>
      <c r="BQ180" s="215"/>
      <c r="BV180" s="5"/>
      <c r="BW180" s="5"/>
      <c r="BX180" s="5"/>
      <c r="BY180" s="5"/>
      <c r="BZ180" s="5"/>
      <c r="CA180" s="5"/>
      <c r="CI180" s="713">
        <v>45565</v>
      </c>
      <c r="CJ180" t="s">
        <v>481</v>
      </c>
      <c r="CK180">
        <v>7</v>
      </c>
      <c r="CL180" s="5">
        <v>2909587.88</v>
      </c>
      <c r="CM180" s="717">
        <v>1</v>
      </c>
      <c r="CN180" s="5"/>
    </row>
    <row r="181" spans="65:92" x14ac:dyDescent="0.2">
      <c r="BM181" s="5"/>
      <c r="BQ181" s="215"/>
      <c r="BV181" s="5"/>
      <c r="BW181" s="5"/>
      <c r="BX181" s="5"/>
      <c r="BY181" s="5"/>
      <c r="BZ181" s="5"/>
      <c r="CA181" s="5"/>
      <c r="CI181" s="713">
        <v>45565</v>
      </c>
      <c r="CJ181" t="s">
        <v>482</v>
      </c>
      <c r="CK181">
        <v>8</v>
      </c>
      <c r="CL181" s="5">
        <v>2681961.44</v>
      </c>
      <c r="CM181" s="717">
        <v>2</v>
      </c>
      <c r="CN181" s="5"/>
    </row>
    <row r="182" spans="65:92" x14ac:dyDescent="0.2">
      <c r="BM182" s="5"/>
      <c r="BQ182" s="215"/>
      <c r="BV182" s="5"/>
      <c r="BW182" s="5"/>
      <c r="BX182" s="5"/>
      <c r="BY182" s="5"/>
      <c r="BZ182" s="5"/>
      <c r="CA182" s="5"/>
      <c r="CI182" s="713">
        <v>45565</v>
      </c>
      <c r="CJ182" t="s">
        <v>483</v>
      </c>
      <c r="CK182">
        <v>9</v>
      </c>
      <c r="CL182" s="5">
        <v>2602767.38</v>
      </c>
      <c r="CM182" s="717">
        <v>2</v>
      </c>
      <c r="CN182" s="5"/>
    </row>
    <row r="183" spans="65:92" x14ac:dyDescent="0.2">
      <c r="BM183" s="5"/>
      <c r="BQ183" s="215"/>
      <c r="BV183" s="5"/>
      <c r="BW183" s="5"/>
      <c r="BX183" s="5"/>
      <c r="BY183" s="5"/>
      <c r="BZ183" s="5"/>
      <c r="CA183" s="5"/>
      <c r="CI183" s="713">
        <v>45565</v>
      </c>
      <c r="CJ183" t="s">
        <v>484</v>
      </c>
      <c r="CK183">
        <v>10</v>
      </c>
      <c r="CL183" s="5">
        <v>2433456.09</v>
      </c>
      <c r="CM183" s="717">
        <v>1</v>
      </c>
      <c r="CN183" s="5"/>
    </row>
    <row r="184" spans="65:92" x14ac:dyDescent="0.2">
      <c r="BM184" s="5"/>
      <c r="BQ184" s="215"/>
      <c r="BV184" s="5"/>
      <c r="BW184" s="5"/>
      <c r="BX184" s="5"/>
      <c r="BY184" s="5"/>
      <c r="BZ184" s="5"/>
      <c r="CA184" s="5"/>
      <c r="CI184" s="713">
        <v>45565</v>
      </c>
      <c r="CJ184" t="s">
        <v>485</v>
      </c>
      <c r="CK184">
        <v>11</v>
      </c>
      <c r="CL184" s="5">
        <v>2396490.9500000002</v>
      </c>
      <c r="CM184" s="717">
        <v>2</v>
      </c>
      <c r="CN184" s="5"/>
    </row>
    <row r="185" spans="65:92" x14ac:dyDescent="0.2">
      <c r="BM185" s="5"/>
      <c r="BQ185" s="215"/>
      <c r="BV185" s="5"/>
      <c r="BW185" s="5"/>
      <c r="BX185" s="5"/>
      <c r="BY185" s="5"/>
      <c r="BZ185" s="5"/>
      <c r="CA185" s="5"/>
      <c r="CI185" s="713">
        <v>45565</v>
      </c>
      <c r="CJ185" t="s">
        <v>486</v>
      </c>
      <c r="CK185">
        <v>12</v>
      </c>
      <c r="CL185" s="5">
        <v>2340392.25</v>
      </c>
      <c r="CM185" s="717">
        <v>1</v>
      </c>
      <c r="CN185" s="5"/>
    </row>
    <row r="186" spans="65:92" x14ac:dyDescent="0.2">
      <c r="BM186" s="5"/>
      <c r="BQ186" s="215"/>
      <c r="BV186" s="5"/>
      <c r="BW186" s="5"/>
      <c r="BX186" s="5"/>
      <c r="BY186" s="5"/>
      <c r="BZ186" s="5"/>
      <c r="CA186" s="5"/>
      <c r="CI186" s="713">
        <v>45565</v>
      </c>
      <c r="CJ186" t="s">
        <v>487</v>
      </c>
      <c r="CK186">
        <v>13</v>
      </c>
      <c r="CL186" s="5">
        <v>2295238.25</v>
      </c>
      <c r="CM186" s="717">
        <v>2</v>
      </c>
      <c r="CN186" s="5"/>
    </row>
    <row r="187" spans="65:92" x14ac:dyDescent="0.2">
      <c r="BM187" s="5"/>
      <c r="BQ187" s="215"/>
      <c r="BV187" s="5"/>
      <c r="BW187" s="5"/>
      <c r="BX187" s="5"/>
      <c r="BY187" s="5"/>
      <c r="BZ187" s="5"/>
      <c r="CA187" s="5"/>
      <c r="CI187" s="713">
        <v>45565</v>
      </c>
      <c r="CJ187" t="s">
        <v>488</v>
      </c>
      <c r="CK187">
        <v>14</v>
      </c>
      <c r="CL187" s="5">
        <v>2072934.9100000001</v>
      </c>
      <c r="CM187" s="717">
        <v>2</v>
      </c>
      <c r="CN187" s="5"/>
    </row>
    <row r="188" spans="65:92" x14ac:dyDescent="0.2">
      <c r="BM188" s="5"/>
      <c r="BQ188" s="215"/>
      <c r="BV188" s="5"/>
      <c r="BW188" s="5"/>
      <c r="BX188" s="5"/>
      <c r="BY188" s="5"/>
      <c r="BZ188" s="5"/>
      <c r="CA188" s="5"/>
      <c r="CI188" s="713">
        <v>45565</v>
      </c>
      <c r="CJ188" t="s">
        <v>489</v>
      </c>
      <c r="CK188">
        <v>15</v>
      </c>
      <c r="CL188" s="5">
        <v>2037880.19</v>
      </c>
      <c r="CM188" s="717">
        <v>2</v>
      </c>
      <c r="CN188" s="5"/>
    </row>
    <row r="189" spans="65:92" x14ac:dyDescent="0.2">
      <c r="BM189" s="5"/>
      <c r="BQ189" s="215"/>
      <c r="BV189" s="5"/>
      <c r="BW189" s="5"/>
      <c r="BX189" s="5"/>
      <c r="BY189" s="5"/>
      <c r="BZ189" s="5"/>
      <c r="CA189" s="5"/>
      <c r="CI189" s="713">
        <v>45565</v>
      </c>
      <c r="CJ189" t="s">
        <v>957</v>
      </c>
      <c r="CK189">
        <v>16</v>
      </c>
      <c r="CL189" s="5">
        <v>2000000</v>
      </c>
      <c r="CM189" s="717">
        <v>1</v>
      </c>
      <c r="CN189" s="5"/>
    </row>
    <row r="190" spans="65:92" x14ac:dyDescent="0.2">
      <c r="BM190" s="5"/>
      <c r="BQ190" s="215"/>
      <c r="BV190" s="5"/>
      <c r="BW190" s="5"/>
      <c r="BX190" s="5"/>
      <c r="BY190" s="5"/>
      <c r="BZ190" s="5"/>
      <c r="CA190" s="5"/>
      <c r="CI190" s="713">
        <v>45565</v>
      </c>
      <c r="CJ190" t="s">
        <v>958</v>
      </c>
      <c r="CK190">
        <v>17</v>
      </c>
      <c r="CL190" s="5">
        <v>1910361.84</v>
      </c>
      <c r="CM190" s="717">
        <v>1</v>
      </c>
      <c r="CN190" s="5"/>
    </row>
    <row r="191" spans="65:92" x14ac:dyDescent="0.2">
      <c r="BM191" s="5"/>
      <c r="BQ191" s="215"/>
      <c r="BV191" s="5"/>
      <c r="BW191" s="5"/>
      <c r="BX191" s="5"/>
      <c r="BY191" s="5"/>
      <c r="BZ191" s="5"/>
      <c r="CA191" s="5"/>
      <c r="CI191" s="713">
        <v>45565</v>
      </c>
      <c r="CJ191" t="s">
        <v>959</v>
      </c>
      <c r="CK191">
        <v>18</v>
      </c>
      <c r="CL191" s="5">
        <v>1889537</v>
      </c>
      <c r="CM191" s="717">
        <v>2</v>
      </c>
      <c r="CN191" s="5"/>
    </row>
    <row r="192" spans="65:92" x14ac:dyDescent="0.2">
      <c r="BM192" s="5"/>
      <c r="BQ192" s="215"/>
      <c r="BV192" s="5"/>
      <c r="BW192" s="5"/>
      <c r="BX192" s="5"/>
      <c r="BY192" s="5"/>
      <c r="BZ192" s="5"/>
      <c r="CA192" s="5"/>
      <c r="CI192" s="713">
        <v>45565</v>
      </c>
      <c r="CJ192" t="s">
        <v>960</v>
      </c>
      <c r="CK192">
        <v>19</v>
      </c>
      <c r="CL192" s="5">
        <v>1858061.96</v>
      </c>
      <c r="CM192" s="717">
        <v>2</v>
      </c>
      <c r="CN192" s="5"/>
    </row>
    <row r="193" spans="65:92" x14ac:dyDescent="0.2">
      <c r="BM193" s="5"/>
      <c r="BQ193" s="215"/>
      <c r="BV193" s="5"/>
      <c r="BW193" s="5"/>
      <c r="BX193" s="5"/>
      <c r="BY193" s="5"/>
      <c r="BZ193" s="5"/>
      <c r="CA193" s="5"/>
      <c r="CI193" s="713">
        <v>45565</v>
      </c>
      <c r="CJ193" t="s">
        <v>961</v>
      </c>
      <c r="CK193">
        <v>20</v>
      </c>
      <c r="CL193" s="5">
        <v>1835763.88</v>
      </c>
      <c r="CM193" s="717">
        <v>2</v>
      </c>
      <c r="CN193" s="5"/>
    </row>
    <row r="194" spans="65:92" x14ac:dyDescent="0.2">
      <c r="BM194" s="5"/>
      <c r="BQ194" s="215"/>
      <c r="BV194" s="5"/>
      <c r="BW194" s="5"/>
      <c r="BX194" s="5"/>
      <c r="BY194" s="5"/>
      <c r="BZ194" s="5"/>
      <c r="CA194" s="5"/>
      <c r="CI194" s="713">
        <v>45565</v>
      </c>
      <c r="CJ194" t="s">
        <v>491</v>
      </c>
      <c r="CK194" t="s">
        <v>962</v>
      </c>
      <c r="CL194" s="5">
        <v>466956251.76999998</v>
      </c>
      <c r="CM194" s="717">
        <v>598</v>
      </c>
      <c r="CN194" s="5">
        <v>466956251.76999998</v>
      </c>
    </row>
    <row r="195" spans="65:92" x14ac:dyDescent="0.2">
      <c r="BM195" s="5"/>
      <c r="BQ195" s="215"/>
      <c r="BV195" s="5"/>
      <c r="BW195" s="5"/>
      <c r="BX195" s="5"/>
      <c r="BY195" s="5"/>
      <c r="BZ195" s="5"/>
      <c r="CA195" s="5"/>
      <c r="CI195" s="713">
        <v>45565</v>
      </c>
      <c r="CJ195" t="s">
        <v>493</v>
      </c>
      <c r="CK195" t="s">
        <v>963</v>
      </c>
      <c r="CL195" s="5">
        <v>21298520.059999999</v>
      </c>
      <c r="CM195" s="717">
        <v>64</v>
      </c>
      <c r="CN195" s="5">
        <v>21298520.059999999</v>
      </c>
    </row>
    <row r="196" spans="65:92" x14ac:dyDescent="0.2">
      <c r="BM196" s="5"/>
      <c r="BQ196" s="215"/>
      <c r="BV196" s="5"/>
      <c r="BW196" s="5"/>
      <c r="BX196" s="5"/>
      <c r="BY196" s="5"/>
      <c r="BZ196" s="5"/>
      <c r="CA196" s="5"/>
      <c r="CI196" s="713">
        <v>45565</v>
      </c>
      <c r="CJ196" t="s">
        <v>495</v>
      </c>
      <c r="CK196" t="s">
        <v>964</v>
      </c>
      <c r="CL196" s="5">
        <v>94539620.25999999</v>
      </c>
      <c r="CM196" s="717">
        <v>153</v>
      </c>
      <c r="CN196" s="5">
        <v>94539620.25999999</v>
      </c>
    </row>
    <row r="197" spans="65:92" x14ac:dyDescent="0.2">
      <c r="BM197" s="5"/>
      <c r="BQ197" s="215"/>
      <c r="BV197" s="5"/>
      <c r="BW197" s="5"/>
      <c r="BX197" s="5"/>
      <c r="BY197" s="5"/>
      <c r="BZ197" s="5"/>
      <c r="CA197" s="5"/>
      <c r="CI197" s="713">
        <v>45565</v>
      </c>
      <c r="CJ197" t="s">
        <v>497</v>
      </c>
      <c r="CK197" t="s">
        <v>965</v>
      </c>
      <c r="CL197" s="5">
        <v>23892795</v>
      </c>
      <c r="CM197" s="717">
        <v>65</v>
      </c>
      <c r="CN197" s="5">
        <v>23892795</v>
      </c>
    </row>
    <row r="198" spans="65:92" x14ac:dyDescent="0.2">
      <c r="BM198" s="5"/>
      <c r="BQ198" s="215"/>
      <c r="BV198" s="5"/>
      <c r="BW198" s="5"/>
      <c r="BX198" s="5"/>
      <c r="BY198" s="5"/>
      <c r="BZ198" s="5"/>
      <c r="CA198" s="5"/>
      <c r="CI198" s="713">
        <v>45565</v>
      </c>
      <c r="CJ198" t="s">
        <v>499</v>
      </c>
      <c r="CK198" t="s">
        <v>966</v>
      </c>
      <c r="CL198" s="5">
        <v>198126213.78999999</v>
      </c>
      <c r="CM198" s="717">
        <v>324</v>
      </c>
      <c r="CN198" s="5">
        <v>198126213.78999999</v>
      </c>
    </row>
    <row r="199" spans="65:92" x14ac:dyDescent="0.2">
      <c r="BM199" s="5"/>
      <c r="BQ199" s="215"/>
      <c r="BV199" s="5"/>
      <c r="BW199" s="5"/>
      <c r="BX199" s="5"/>
      <c r="BY199" s="5"/>
      <c r="BZ199" s="5"/>
      <c r="CA199" s="5"/>
      <c r="CI199" s="713">
        <v>45565</v>
      </c>
      <c r="CJ199" t="s">
        <v>967</v>
      </c>
      <c r="CK199" t="s">
        <v>968</v>
      </c>
      <c r="CL199" s="5">
        <v>41375193.859999999</v>
      </c>
      <c r="CM199" s="717">
        <v>134</v>
      </c>
      <c r="CN199" s="5">
        <v>41375193.859999999</v>
      </c>
    </row>
    <row r="200" spans="65:92" x14ac:dyDescent="0.2">
      <c r="BM200" s="5"/>
      <c r="BQ200" s="215"/>
      <c r="BV200" s="5"/>
      <c r="BW200" s="5"/>
      <c r="BX200" s="5"/>
      <c r="BY200" s="5"/>
      <c r="BZ200" s="5"/>
      <c r="CA200" s="5"/>
      <c r="CI200" s="713">
        <v>45565</v>
      </c>
      <c r="CJ200" t="s">
        <v>969</v>
      </c>
      <c r="CK200" t="s">
        <v>970</v>
      </c>
      <c r="CL200" s="5">
        <v>66900567</v>
      </c>
      <c r="CM200" s="717">
        <v>144</v>
      </c>
      <c r="CN200" s="5">
        <v>66900567</v>
      </c>
    </row>
    <row r="201" spans="65:92" x14ac:dyDescent="0.2">
      <c r="BM201" s="5"/>
      <c r="BQ201" s="215"/>
      <c r="BV201" s="5"/>
      <c r="BW201" s="5"/>
      <c r="BX201" s="5"/>
      <c r="BY201" s="5"/>
      <c r="BZ201" s="5"/>
      <c r="CA201" s="5"/>
      <c r="CI201" s="713">
        <v>45565</v>
      </c>
      <c r="CJ201" t="s">
        <v>971</v>
      </c>
      <c r="CK201" t="s">
        <v>972</v>
      </c>
      <c r="CL201" s="5">
        <v>25334074.109999999</v>
      </c>
      <c r="CM201" s="717">
        <v>90</v>
      </c>
      <c r="CN201" s="5">
        <v>25334074.109999999</v>
      </c>
    </row>
    <row r="202" spans="65:92" x14ac:dyDescent="0.2">
      <c r="BM202" s="5"/>
      <c r="BQ202" s="215"/>
      <c r="BV202" s="5"/>
      <c r="BW202" s="5"/>
      <c r="BX202" s="5"/>
      <c r="BY202" s="5"/>
      <c r="BZ202" s="5"/>
      <c r="CA202" s="5"/>
      <c r="CI202" s="713">
        <v>45565</v>
      </c>
      <c r="CJ202" t="s">
        <v>973</v>
      </c>
      <c r="CK202" t="s">
        <v>974</v>
      </c>
      <c r="CL202" s="5">
        <v>225233</v>
      </c>
      <c r="CM202" s="717">
        <v>1</v>
      </c>
      <c r="CN202" s="5">
        <v>225233</v>
      </c>
    </row>
    <row r="203" spans="65:92" x14ac:dyDescent="0.2">
      <c r="BM203" s="5"/>
      <c r="BQ203" s="215"/>
      <c r="BV203" s="5"/>
      <c r="BW203" s="5"/>
      <c r="BX203" s="5"/>
      <c r="BY203" s="5"/>
      <c r="BZ203" s="5"/>
      <c r="CA203" s="5"/>
      <c r="CI203" s="713">
        <v>45565</v>
      </c>
      <c r="CJ203" t="s">
        <v>975</v>
      </c>
      <c r="CK203" t="s">
        <v>976</v>
      </c>
      <c r="CL203" s="5">
        <v>3614463</v>
      </c>
      <c r="CM203" s="717">
        <v>16</v>
      </c>
      <c r="CN203" s="5">
        <v>3614463</v>
      </c>
    </row>
    <row r="204" spans="65:92" x14ac:dyDescent="0.2">
      <c r="BM204" s="5"/>
      <c r="BQ204" s="215"/>
      <c r="BV204" s="5"/>
      <c r="BW204" s="5"/>
      <c r="BX204" s="5"/>
      <c r="BY204" s="5"/>
      <c r="BZ204" s="5"/>
      <c r="CA204" s="5"/>
      <c r="CI204" s="713">
        <v>45565</v>
      </c>
      <c r="CJ204" t="s">
        <v>977</v>
      </c>
      <c r="CK204" t="s">
        <v>978</v>
      </c>
      <c r="CL204" s="5">
        <v>0</v>
      </c>
      <c r="CM204" s="717">
        <v>0</v>
      </c>
      <c r="CN204" s="5">
        <v>0</v>
      </c>
    </row>
    <row r="205" spans="65:92" x14ac:dyDescent="0.2">
      <c r="BM205" s="5"/>
      <c r="BQ205" s="215"/>
      <c r="BV205" s="5"/>
      <c r="BW205" s="5"/>
      <c r="BX205" s="5"/>
      <c r="BY205" s="5"/>
      <c r="BZ205" s="5"/>
      <c r="CA205" s="5"/>
      <c r="CI205" s="713">
        <v>45565</v>
      </c>
      <c r="CJ205" t="s">
        <v>979</v>
      </c>
      <c r="CK205" t="s">
        <v>980</v>
      </c>
      <c r="CL205" s="5">
        <v>5318037</v>
      </c>
      <c r="CM205" s="717">
        <v>22</v>
      </c>
      <c r="CN205" s="5">
        <v>5318037</v>
      </c>
    </row>
    <row r="206" spans="65:92" x14ac:dyDescent="0.2">
      <c r="BM206" s="5"/>
      <c r="BQ206" s="215"/>
      <c r="BV206" s="5"/>
      <c r="BW206" s="5"/>
      <c r="BX206" s="5"/>
      <c r="BY206" s="5"/>
      <c r="BZ206" s="5"/>
      <c r="CA206" s="5"/>
      <c r="CI206" s="713">
        <v>45565</v>
      </c>
      <c r="CJ206" t="s">
        <v>981</v>
      </c>
      <c r="CK206" t="s">
        <v>982</v>
      </c>
      <c r="CL206" s="5">
        <v>411000</v>
      </c>
      <c r="CM206" s="717">
        <v>2</v>
      </c>
      <c r="CN206" s="5">
        <v>411000</v>
      </c>
    </row>
    <row r="207" spans="65:92" x14ac:dyDescent="0.2">
      <c r="BM207" s="5"/>
      <c r="BQ207" s="215"/>
      <c r="BV207" s="5"/>
      <c r="BW207" s="5"/>
      <c r="BX207" s="5"/>
      <c r="BY207" s="5"/>
      <c r="BZ207" s="5"/>
      <c r="CA207" s="5"/>
      <c r="CI207" s="713">
        <v>45565</v>
      </c>
      <c r="CJ207" t="s">
        <v>983</v>
      </c>
      <c r="CK207" t="s">
        <v>984</v>
      </c>
      <c r="CL207" s="5">
        <v>2012812</v>
      </c>
      <c r="CM207" s="717">
        <v>9</v>
      </c>
      <c r="CN207" s="5">
        <v>2012812</v>
      </c>
    </row>
    <row r="208" spans="65:92" x14ac:dyDescent="0.2">
      <c r="BM208" s="5"/>
      <c r="BQ208" s="215"/>
      <c r="BV208" s="5"/>
      <c r="BW208" s="5"/>
      <c r="BX208" s="5"/>
      <c r="BY208" s="5"/>
      <c r="BZ208" s="5"/>
      <c r="CA208" s="5"/>
      <c r="CI208" s="713">
        <v>45565</v>
      </c>
      <c r="CJ208" t="s">
        <v>985</v>
      </c>
      <c r="CK208" t="s">
        <v>986</v>
      </c>
      <c r="CL208" s="5">
        <v>3214358</v>
      </c>
      <c r="CM208" s="717">
        <v>14</v>
      </c>
      <c r="CN208" s="5">
        <v>3214358</v>
      </c>
    </row>
    <row r="209" spans="65:92" x14ac:dyDescent="0.2">
      <c r="BM209" s="5"/>
      <c r="BQ209" s="215"/>
      <c r="BV209" s="5"/>
      <c r="BW209" s="5"/>
      <c r="BX209" s="5"/>
      <c r="BY209" s="5"/>
      <c r="BZ209" s="5"/>
      <c r="CA209" s="5"/>
      <c r="CI209" s="713">
        <v>45565</v>
      </c>
      <c r="CJ209" t="s">
        <v>987</v>
      </c>
      <c r="CK209" t="s">
        <v>988</v>
      </c>
      <c r="CL209" s="5">
        <v>223900</v>
      </c>
      <c r="CM209" s="717">
        <v>2</v>
      </c>
      <c r="CN209" s="5">
        <v>223900</v>
      </c>
    </row>
    <row r="210" spans="65:92" x14ac:dyDescent="0.2">
      <c r="BM210" s="5"/>
      <c r="BQ210" s="215"/>
      <c r="BV210" s="5"/>
      <c r="BW210" s="5"/>
      <c r="BX210" s="5"/>
      <c r="BY210" s="5"/>
      <c r="BZ210" s="5"/>
      <c r="CA210" s="5"/>
      <c r="CI210" s="713">
        <v>45565</v>
      </c>
      <c r="CJ210" t="s">
        <v>989</v>
      </c>
      <c r="CK210" t="s">
        <v>990</v>
      </c>
      <c r="CL210" s="5">
        <v>1159500</v>
      </c>
      <c r="CM210" s="717">
        <v>3</v>
      </c>
      <c r="CN210" s="5">
        <v>1159500</v>
      </c>
    </row>
    <row r="211" spans="65:92" x14ac:dyDescent="0.2">
      <c r="BM211" s="5"/>
      <c r="BQ211" s="215"/>
      <c r="BV211" s="5"/>
      <c r="BW211" s="5"/>
      <c r="BX211" s="5"/>
      <c r="BY211" s="5"/>
      <c r="BZ211" s="5"/>
      <c r="CA211" s="5"/>
      <c r="CI211" s="713">
        <v>45565</v>
      </c>
      <c r="CJ211" t="s">
        <v>991</v>
      </c>
      <c r="CK211" t="s">
        <v>992</v>
      </c>
      <c r="CL211" s="5">
        <v>421527</v>
      </c>
      <c r="CM211" s="717">
        <v>2</v>
      </c>
      <c r="CN211" s="5">
        <v>421527</v>
      </c>
    </row>
    <row r="212" spans="65:92" x14ac:dyDescent="0.2">
      <c r="BM212" s="5"/>
      <c r="BQ212" s="215"/>
      <c r="BV212" s="5"/>
      <c r="BW212" s="5"/>
      <c r="BX212" s="5"/>
      <c r="BY212" s="5"/>
      <c r="BZ212" s="5"/>
      <c r="CA212" s="5"/>
      <c r="CI212" s="713">
        <v>45565</v>
      </c>
      <c r="CJ212" t="s">
        <v>993</v>
      </c>
      <c r="CK212" t="s">
        <v>994</v>
      </c>
      <c r="CL212" s="5">
        <v>1009169</v>
      </c>
      <c r="CM212" s="717">
        <v>2</v>
      </c>
      <c r="CN212" s="5">
        <v>1009169</v>
      </c>
    </row>
    <row r="213" spans="65:92" x14ac:dyDescent="0.2">
      <c r="BM213" s="5"/>
      <c r="BQ213" s="215"/>
      <c r="BV213" s="5"/>
      <c r="BW213" s="5"/>
      <c r="BX213" s="5"/>
      <c r="BY213" s="5"/>
      <c r="BZ213" s="5"/>
      <c r="CA213" s="5"/>
      <c r="CI213" s="713">
        <v>45565</v>
      </c>
      <c r="CJ213" t="s">
        <v>995</v>
      </c>
      <c r="CK213" t="s">
        <v>996</v>
      </c>
      <c r="CL213" s="5">
        <v>571000</v>
      </c>
      <c r="CM213" s="717">
        <v>4</v>
      </c>
      <c r="CN213" s="5">
        <v>571000</v>
      </c>
    </row>
    <row r="214" spans="65:92" x14ac:dyDescent="0.2">
      <c r="BM214" s="5"/>
      <c r="BQ214" s="215"/>
      <c r="BV214" s="5"/>
      <c r="BW214" s="5"/>
      <c r="BX214" s="5"/>
      <c r="BY214" s="5"/>
      <c r="BZ214" s="5"/>
      <c r="CA214" s="5"/>
      <c r="CI214" s="713">
        <v>45565</v>
      </c>
      <c r="CJ214" t="s">
        <v>997</v>
      </c>
      <c r="CK214" t="s">
        <v>998</v>
      </c>
      <c r="CL214" s="5">
        <v>0</v>
      </c>
      <c r="CM214" s="717">
        <v>0</v>
      </c>
      <c r="CN214" s="5">
        <v>0</v>
      </c>
    </row>
    <row r="215" spans="65:92" x14ac:dyDescent="0.2">
      <c r="BM215" s="5"/>
      <c r="BQ215" s="215"/>
      <c r="BV215" s="5"/>
      <c r="BW215" s="5"/>
      <c r="BX215" s="5"/>
      <c r="BY215" s="5"/>
      <c r="BZ215" s="5"/>
      <c r="CA215" s="5"/>
      <c r="CI215" s="713">
        <v>45565</v>
      </c>
      <c r="CJ215" t="s">
        <v>999</v>
      </c>
      <c r="CK215" t="s">
        <v>1000</v>
      </c>
      <c r="CL215" s="5">
        <v>0</v>
      </c>
      <c r="CM215" s="717">
        <v>0</v>
      </c>
      <c r="CN215" s="5">
        <v>0</v>
      </c>
    </row>
    <row r="216" spans="65:92" x14ac:dyDescent="0.2">
      <c r="BM216" s="5"/>
      <c r="BQ216" s="215"/>
      <c r="BV216" s="5"/>
      <c r="BW216" s="5"/>
      <c r="BX216" s="5"/>
      <c r="BY216" s="5"/>
      <c r="BZ216" s="5"/>
      <c r="CA216" s="5"/>
      <c r="CI216" s="713">
        <v>45565</v>
      </c>
      <c r="CJ216" t="s">
        <v>1001</v>
      </c>
      <c r="CK216" t="s">
        <v>1002</v>
      </c>
      <c r="CL216" s="5">
        <v>17162670</v>
      </c>
      <c r="CM216" s="717">
        <v>37</v>
      </c>
      <c r="CN216" s="5">
        <v>17162670</v>
      </c>
    </row>
    <row r="217" spans="65:92" x14ac:dyDescent="0.2">
      <c r="BM217" s="5"/>
      <c r="BQ217" s="215"/>
      <c r="BV217" s="5"/>
      <c r="BW217" s="5"/>
      <c r="BX217" s="5"/>
      <c r="BY217" s="5"/>
      <c r="BZ217" s="5"/>
      <c r="CA217" s="5"/>
      <c r="CI217" s="713">
        <v>45565</v>
      </c>
      <c r="CJ217" t="s">
        <v>1003</v>
      </c>
      <c r="CK217" t="s">
        <v>1004</v>
      </c>
      <c r="CL217" s="5">
        <v>1940311</v>
      </c>
      <c r="CM217" s="717">
        <v>6</v>
      </c>
      <c r="CN217" s="5">
        <v>1940311</v>
      </c>
    </row>
    <row r="218" spans="65:92" x14ac:dyDescent="0.2">
      <c r="BM218" s="5"/>
      <c r="BQ218" s="215"/>
      <c r="BV218" s="5"/>
      <c r="BW218" s="5"/>
      <c r="BX218" s="5"/>
      <c r="BY218" s="5"/>
      <c r="BZ218" s="5"/>
      <c r="CA218" s="5"/>
      <c r="CI218" s="713">
        <v>45565</v>
      </c>
      <c r="CJ218" t="s">
        <v>1005</v>
      </c>
      <c r="CK218" t="s">
        <v>1006</v>
      </c>
      <c r="CL218" s="5">
        <v>1450854</v>
      </c>
      <c r="CM218" s="717">
        <v>4</v>
      </c>
      <c r="CN218" s="5">
        <v>1450854</v>
      </c>
    </row>
    <row r="219" spans="65:92" x14ac:dyDescent="0.2">
      <c r="BM219" s="5"/>
      <c r="BQ219" s="215"/>
      <c r="BV219" s="5"/>
      <c r="BW219" s="5"/>
      <c r="BX219" s="5"/>
      <c r="BY219" s="5"/>
      <c r="BZ219" s="5"/>
      <c r="CA219" s="5"/>
      <c r="CI219" s="713">
        <v>45565</v>
      </c>
      <c r="CJ219" t="s">
        <v>1007</v>
      </c>
      <c r="CK219" t="s">
        <v>1008</v>
      </c>
      <c r="CL219" s="5">
        <v>4801122</v>
      </c>
      <c r="CM219" s="717">
        <v>15</v>
      </c>
      <c r="CN219" s="5">
        <v>4801122</v>
      </c>
    </row>
    <row r="220" spans="65:92" x14ac:dyDescent="0.2">
      <c r="BM220" s="5"/>
      <c r="BQ220" s="215"/>
      <c r="BV220" s="5"/>
      <c r="BW220" s="5"/>
      <c r="BX220" s="5"/>
      <c r="BY220" s="5"/>
      <c r="BZ220" s="5"/>
      <c r="CA220" s="5"/>
      <c r="CI220" s="713">
        <v>45565</v>
      </c>
      <c r="CJ220" t="s">
        <v>1009</v>
      </c>
      <c r="CK220" t="s">
        <v>1010</v>
      </c>
      <c r="CL220" s="5">
        <v>11307519</v>
      </c>
      <c r="CM220" s="717">
        <v>46</v>
      </c>
      <c r="CN220" s="5">
        <v>11307519</v>
      </c>
    </row>
    <row r="221" spans="65:92" x14ac:dyDescent="0.2">
      <c r="BM221" s="5"/>
      <c r="BQ221" s="215"/>
      <c r="BV221" s="5"/>
      <c r="BW221" s="5"/>
      <c r="BX221" s="5"/>
      <c r="BY221" s="5"/>
      <c r="BZ221" s="5"/>
      <c r="CA221" s="5"/>
      <c r="CI221" s="713">
        <v>45565</v>
      </c>
      <c r="CJ221" t="s">
        <v>1011</v>
      </c>
      <c r="CK221" t="s">
        <v>1012</v>
      </c>
      <c r="CL221" s="5">
        <v>28491231</v>
      </c>
      <c r="CM221" s="717">
        <v>94</v>
      </c>
      <c r="CN221" s="5">
        <v>28491231</v>
      </c>
    </row>
    <row r="222" spans="65:92" x14ac:dyDescent="0.2">
      <c r="BM222" s="5"/>
      <c r="BQ222" s="215"/>
      <c r="BV222" s="5"/>
      <c r="BW222" s="5"/>
      <c r="BX222" s="5"/>
      <c r="BY222" s="5"/>
      <c r="BZ222" s="5"/>
      <c r="CA222" s="5"/>
      <c r="CI222" s="713">
        <v>45565</v>
      </c>
      <c r="CJ222" t="s">
        <v>1013</v>
      </c>
      <c r="CK222" t="s">
        <v>1014</v>
      </c>
      <c r="CL222" s="5">
        <v>3157872</v>
      </c>
      <c r="CM222" s="717">
        <v>13</v>
      </c>
      <c r="CN222" s="5">
        <v>3157872</v>
      </c>
    </row>
    <row r="223" spans="65:92" x14ac:dyDescent="0.2">
      <c r="BM223" s="5"/>
      <c r="BQ223" s="215"/>
      <c r="BV223" s="5"/>
      <c r="BW223" s="5"/>
      <c r="BX223" s="5"/>
      <c r="BY223" s="5"/>
      <c r="BZ223" s="5"/>
      <c r="CA223" s="5"/>
      <c r="CI223" s="713">
        <v>45565</v>
      </c>
      <c r="CJ223" t="s">
        <v>1015</v>
      </c>
      <c r="CK223" t="s">
        <v>1016</v>
      </c>
      <c r="CL223" s="5">
        <v>1507754</v>
      </c>
      <c r="CM223" s="717">
        <v>4</v>
      </c>
      <c r="CN223" s="5">
        <v>1507754</v>
      </c>
    </row>
    <row r="224" spans="65:92" x14ac:dyDescent="0.2">
      <c r="BM224" s="5"/>
      <c r="BQ224" s="215"/>
      <c r="BV224" s="5"/>
      <c r="BW224" s="5"/>
      <c r="BX224" s="5"/>
      <c r="BY224" s="5"/>
      <c r="BZ224" s="5"/>
      <c r="CA224" s="5"/>
      <c r="CI224" s="713">
        <v>45565</v>
      </c>
      <c r="CJ224" t="s">
        <v>1017</v>
      </c>
      <c r="CK224" t="s">
        <v>1018</v>
      </c>
      <c r="CL224" s="5">
        <v>8053346</v>
      </c>
      <c r="CM224" s="717">
        <v>21</v>
      </c>
      <c r="CN224" s="5">
        <v>8053346</v>
      </c>
    </row>
    <row r="225" spans="65:92" x14ac:dyDescent="0.2">
      <c r="BM225" s="5"/>
      <c r="BQ225" s="215"/>
      <c r="BV225" s="5"/>
      <c r="BW225" s="5"/>
      <c r="BX225" s="5"/>
      <c r="BY225" s="5"/>
      <c r="BZ225" s="5"/>
      <c r="CA225" s="5"/>
      <c r="CI225" s="713">
        <v>45565</v>
      </c>
      <c r="CJ225" t="s">
        <v>1019</v>
      </c>
      <c r="CK225" t="s">
        <v>1020</v>
      </c>
      <c r="CL225" s="5">
        <v>764000</v>
      </c>
      <c r="CM225" s="717">
        <v>5</v>
      </c>
      <c r="CN225" s="5">
        <v>764000</v>
      </c>
    </row>
    <row r="226" spans="65:92" x14ac:dyDescent="0.2">
      <c r="BM226" s="5"/>
      <c r="BQ226" s="215"/>
      <c r="BV226" s="5"/>
      <c r="BW226" s="5"/>
      <c r="BX226" s="5"/>
      <c r="BY226" s="5"/>
      <c r="BZ226" s="5"/>
      <c r="CA226" s="5"/>
      <c r="CI226" s="713">
        <v>45565</v>
      </c>
      <c r="CJ226" t="s">
        <v>1021</v>
      </c>
      <c r="CK226" t="s">
        <v>1022</v>
      </c>
      <c r="CL226" s="5">
        <v>10483035</v>
      </c>
      <c r="CM226" s="717">
        <v>34</v>
      </c>
      <c r="CN226" s="5">
        <v>10483035</v>
      </c>
    </row>
    <row r="227" spans="65:92" x14ac:dyDescent="0.2">
      <c r="BM227" s="5"/>
      <c r="BQ227" s="215"/>
      <c r="BV227" s="5"/>
      <c r="BW227" s="5"/>
      <c r="BX227" s="5"/>
      <c r="BY227" s="5"/>
      <c r="BZ227" s="5"/>
      <c r="CA227" s="5"/>
      <c r="CI227" s="713">
        <v>45565</v>
      </c>
      <c r="CJ227" t="s">
        <v>1023</v>
      </c>
      <c r="CK227" t="s">
        <v>1024</v>
      </c>
      <c r="CL227" s="5">
        <v>0</v>
      </c>
      <c r="CM227" s="717">
        <v>0</v>
      </c>
      <c r="CN227" s="5">
        <v>0</v>
      </c>
    </row>
    <row r="228" spans="65:92" x14ac:dyDescent="0.2">
      <c r="BM228" s="5"/>
      <c r="BQ228" s="215"/>
      <c r="BV228" s="5"/>
      <c r="BW228" s="5"/>
      <c r="BX228" s="5"/>
      <c r="BY228" s="5"/>
      <c r="BZ228" s="5"/>
      <c r="CA228" s="5"/>
      <c r="CI228" s="713">
        <v>45565</v>
      </c>
      <c r="CJ228" t="s">
        <v>1025</v>
      </c>
      <c r="CK228" t="s">
        <v>1026</v>
      </c>
      <c r="CL228" s="5">
        <v>0</v>
      </c>
      <c r="CM228" s="717">
        <v>0</v>
      </c>
      <c r="CN228" s="5">
        <v>0</v>
      </c>
    </row>
    <row r="229" spans="65:92" x14ac:dyDescent="0.2">
      <c r="BM229" s="5"/>
      <c r="BQ229" s="215"/>
      <c r="BV229" s="5"/>
      <c r="BW229" s="5"/>
      <c r="BX229" s="5"/>
      <c r="BY229" s="5"/>
      <c r="BZ229" s="5"/>
      <c r="CA229" s="5"/>
      <c r="CI229" s="713">
        <v>45565</v>
      </c>
      <c r="CJ229" t="s">
        <v>1027</v>
      </c>
      <c r="CK229" t="s">
        <v>1028</v>
      </c>
      <c r="CL229" s="5">
        <v>198240</v>
      </c>
      <c r="CM229" s="717">
        <v>2</v>
      </c>
      <c r="CN229" s="5">
        <v>198240</v>
      </c>
    </row>
    <row r="230" spans="65:92" x14ac:dyDescent="0.2">
      <c r="BM230" s="5"/>
      <c r="BQ230" s="215"/>
      <c r="BV230" s="5"/>
      <c r="BW230" s="5"/>
      <c r="BX230" s="5"/>
      <c r="BY230" s="5"/>
      <c r="BZ230" s="5"/>
      <c r="CA230" s="5"/>
      <c r="CI230" s="713">
        <v>45565</v>
      </c>
      <c r="CJ230" t="s">
        <v>1029</v>
      </c>
      <c r="CK230" t="s">
        <v>1030</v>
      </c>
      <c r="CL230" s="5">
        <v>326406</v>
      </c>
      <c r="CM230" s="717">
        <v>2</v>
      </c>
      <c r="CN230" s="5">
        <v>326406</v>
      </c>
    </row>
    <row r="231" spans="65:92" x14ac:dyDescent="0.2">
      <c r="BM231" s="5"/>
      <c r="BQ231" s="215"/>
      <c r="BV231" s="5"/>
      <c r="BW231" s="5"/>
      <c r="BX231" s="5"/>
      <c r="BY231" s="5"/>
      <c r="BZ231" s="5"/>
      <c r="CA231" s="5"/>
      <c r="CI231" s="713">
        <v>45565</v>
      </c>
      <c r="CJ231" t="s">
        <v>1031</v>
      </c>
      <c r="CK231" t="s">
        <v>1032</v>
      </c>
      <c r="CL231" s="5">
        <v>0</v>
      </c>
      <c r="CM231" s="717">
        <v>0</v>
      </c>
      <c r="CN231" s="5">
        <v>0</v>
      </c>
    </row>
    <row r="232" spans="65:92" x14ac:dyDescent="0.2">
      <c r="BM232" s="5"/>
      <c r="BQ232" s="215"/>
      <c r="BV232" s="5"/>
      <c r="BW232" s="5"/>
      <c r="BX232" s="5"/>
      <c r="BY232" s="5"/>
      <c r="BZ232" s="5"/>
      <c r="CA232" s="5"/>
      <c r="CI232" s="713">
        <v>45565</v>
      </c>
      <c r="CJ232" t="s">
        <v>1033</v>
      </c>
      <c r="CK232" t="s">
        <v>1034</v>
      </c>
      <c r="CL232" s="5">
        <v>3161933</v>
      </c>
      <c r="CM232" s="717">
        <v>12</v>
      </c>
      <c r="CN232" s="5">
        <v>3161933</v>
      </c>
    </row>
    <row r="233" spans="65:92" x14ac:dyDescent="0.2">
      <c r="BM233" s="5"/>
      <c r="BQ233" s="215"/>
      <c r="BV233" s="5"/>
      <c r="BW233" s="5"/>
      <c r="BX233" s="5"/>
      <c r="BY233" s="5"/>
      <c r="BZ233" s="5"/>
      <c r="CA233" s="5"/>
      <c r="CI233" s="713">
        <v>45565</v>
      </c>
      <c r="CJ233" t="s">
        <v>1035</v>
      </c>
      <c r="CK233" t="s">
        <v>1036</v>
      </c>
      <c r="CL233" s="5">
        <v>0</v>
      </c>
      <c r="CM233" s="717">
        <v>0</v>
      </c>
      <c r="CN233" s="5">
        <v>0</v>
      </c>
    </row>
    <row r="234" spans="65:92" x14ac:dyDescent="0.2">
      <c r="BM234" s="5"/>
      <c r="BQ234" s="215"/>
      <c r="BV234" s="5"/>
      <c r="BW234" s="5"/>
      <c r="BX234" s="5"/>
      <c r="BY234" s="5"/>
      <c r="BZ234" s="5"/>
      <c r="CA234" s="5"/>
      <c r="CI234" s="713">
        <v>45565</v>
      </c>
      <c r="CJ234" t="s">
        <v>1037</v>
      </c>
      <c r="CK234" t="s">
        <v>1038</v>
      </c>
      <c r="CL234" s="5">
        <v>4252063</v>
      </c>
      <c r="CM234" s="717">
        <v>15</v>
      </c>
      <c r="CN234" s="5">
        <v>4252063</v>
      </c>
    </row>
    <row r="235" spans="65:92" x14ac:dyDescent="0.2">
      <c r="BM235" s="5"/>
      <c r="BQ235" s="215"/>
      <c r="BV235" s="5"/>
      <c r="BW235" s="5"/>
      <c r="BX235" s="5"/>
      <c r="BY235" s="5"/>
      <c r="BZ235" s="5"/>
      <c r="CA235" s="5"/>
      <c r="CI235" s="713">
        <v>45565</v>
      </c>
      <c r="CJ235" t="s">
        <v>1039</v>
      </c>
      <c r="CK235" t="s">
        <v>1040</v>
      </c>
      <c r="CL235" s="5">
        <v>265000</v>
      </c>
      <c r="CM235" s="717">
        <v>1</v>
      </c>
      <c r="CN235" s="5">
        <v>265000</v>
      </c>
    </row>
    <row r="236" spans="65:92" x14ac:dyDescent="0.2">
      <c r="BM236" s="5"/>
      <c r="BQ236" s="215"/>
      <c r="BV236" s="5"/>
      <c r="BW236" s="5"/>
      <c r="BX236" s="5"/>
      <c r="BY236" s="5"/>
      <c r="BZ236" s="5"/>
      <c r="CA236" s="5"/>
      <c r="CI236" s="713">
        <v>45565</v>
      </c>
      <c r="CJ236" t="s">
        <v>1041</v>
      </c>
      <c r="CK236" t="s">
        <v>1042</v>
      </c>
      <c r="CL236" s="5">
        <v>19829400.140000001</v>
      </c>
      <c r="CM236" s="717">
        <v>61</v>
      </c>
      <c r="CN236" s="5">
        <v>19829400.140000001</v>
      </c>
    </row>
    <row r="237" spans="65:92" x14ac:dyDescent="0.2">
      <c r="BM237" s="5"/>
      <c r="BQ237" s="215"/>
      <c r="BV237" s="5"/>
      <c r="BW237" s="5"/>
      <c r="BX237" s="5"/>
      <c r="BY237" s="5"/>
      <c r="BZ237" s="5"/>
      <c r="CA237" s="5"/>
      <c r="CI237" s="713">
        <v>45565</v>
      </c>
      <c r="CJ237" t="s">
        <v>1043</v>
      </c>
      <c r="CK237" t="s">
        <v>1044</v>
      </c>
      <c r="CL237" s="5">
        <v>1490826</v>
      </c>
      <c r="CM237" s="717">
        <v>9</v>
      </c>
      <c r="CN237" s="5">
        <v>1490826</v>
      </c>
    </row>
    <row r="238" spans="65:92" x14ac:dyDescent="0.2">
      <c r="BM238" s="5"/>
      <c r="BQ238" s="215"/>
      <c r="BV238" s="5"/>
      <c r="BW238" s="5"/>
      <c r="BX238" s="5"/>
      <c r="BY238" s="5"/>
      <c r="BZ238" s="5"/>
      <c r="CA238" s="5"/>
      <c r="CI238" s="713">
        <v>45565</v>
      </c>
      <c r="CJ238" t="s">
        <v>1045</v>
      </c>
      <c r="CK238" t="s">
        <v>1046</v>
      </c>
      <c r="CL238" s="5">
        <v>353296</v>
      </c>
      <c r="CM238" s="717">
        <v>2</v>
      </c>
      <c r="CN238" s="5">
        <v>353296</v>
      </c>
    </row>
    <row r="239" spans="65:92" x14ac:dyDescent="0.2">
      <c r="BM239" s="5"/>
      <c r="BQ239" s="215"/>
      <c r="BV239" s="5"/>
      <c r="BW239" s="5"/>
      <c r="BX239" s="5"/>
      <c r="BY239" s="5"/>
      <c r="BZ239" s="5"/>
      <c r="CA239" s="5"/>
      <c r="CI239" s="713">
        <v>45565</v>
      </c>
      <c r="CJ239" t="s">
        <v>1047</v>
      </c>
      <c r="CK239" t="s">
        <v>1048</v>
      </c>
      <c r="CL239" s="5">
        <v>979557</v>
      </c>
      <c r="CM239" s="717">
        <v>5</v>
      </c>
      <c r="CN239" s="5">
        <v>979557</v>
      </c>
    </row>
    <row r="240" spans="65:92" x14ac:dyDescent="0.2">
      <c r="BM240" s="5"/>
      <c r="BQ240" s="215"/>
      <c r="BV240" s="5"/>
      <c r="BW240" s="5"/>
      <c r="BX240" s="5"/>
      <c r="BY240" s="5"/>
      <c r="BZ240" s="5"/>
      <c r="CA240" s="5"/>
      <c r="CI240" s="713">
        <v>45565</v>
      </c>
      <c r="CJ240" t="s">
        <v>1049</v>
      </c>
      <c r="CK240" t="s">
        <v>1050</v>
      </c>
      <c r="CL240" s="5">
        <v>5402026</v>
      </c>
      <c r="CM240" s="717">
        <v>13</v>
      </c>
      <c r="CN240" s="5">
        <v>5402026</v>
      </c>
    </row>
    <row r="241" spans="65:92" x14ac:dyDescent="0.2">
      <c r="BM241" s="5"/>
      <c r="BQ241" s="215"/>
      <c r="BV241" s="5"/>
      <c r="BW241" s="5"/>
      <c r="BX241" s="5"/>
      <c r="BY241" s="5"/>
      <c r="BZ241" s="5"/>
      <c r="CA241" s="5"/>
      <c r="CI241" s="713">
        <v>45565</v>
      </c>
      <c r="CJ241" t="s">
        <v>1051</v>
      </c>
      <c r="CK241" t="s">
        <v>1052</v>
      </c>
      <c r="CL241" s="5">
        <v>3523064</v>
      </c>
      <c r="CM241" s="717">
        <v>8</v>
      </c>
      <c r="CN241" s="5">
        <v>3523064</v>
      </c>
    </row>
    <row r="242" spans="65:92" x14ac:dyDescent="0.2">
      <c r="BM242" s="5"/>
      <c r="BQ242" s="215"/>
      <c r="BV242" s="5"/>
      <c r="BW242" s="5"/>
      <c r="BX242" s="5"/>
      <c r="BY242" s="5"/>
      <c r="BZ242" s="5"/>
      <c r="CA242" s="5"/>
      <c r="CI242" s="713">
        <v>45565</v>
      </c>
      <c r="CJ242" t="s">
        <v>1053</v>
      </c>
      <c r="CK242" t="s">
        <v>1054</v>
      </c>
      <c r="CL242" s="5">
        <v>2035405</v>
      </c>
      <c r="CM242" s="717">
        <v>8</v>
      </c>
      <c r="CN242" s="5">
        <v>2035405</v>
      </c>
    </row>
    <row r="243" spans="65:92" x14ac:dyDescent="0.2">
      <c r="BM243" s="5"/>
      <c r="BQ243" s="215"/>
      <c r="BV243" s="5"/>
      <c r="BW243" s="5"/>
      <c r="BX243" s="5"/>
      <c r="BY243" s="5"/>
      <c r="BZ243" s="5"/>
      <c r="CA243" s="5"/>
      <c r="CI243" s="713">
        <v>45565</v>
      </c>
      <c r="CJ243" t="s">
        <v>1055</v>
      </c>
      <c r="CK243" t="s">
        <v>1056</v>
      </c>
      <c r="CL243" s="5">
        <v>6753149</v>
      </c>
      <c r="CM243" s="717">
        <v>22</v>
      </c>
      <c r="CN243" s="5">
        <v>6753149</v>
      </c>
    </row>
    <row r="244" spans="65:92" x14ac:dyDescent="0.2">
      <c r="BM244" s="5"/>
      <c r="BQ244" s="215"/>
      <c r="BV244" s="5"/>
      <c r="BW244" s="5"/>
      <c r="BX244" s="5"/>
      <c r="BY244" s="5"/>
      <c r="BZ244" s="5"/>
      <c r="CA244" s="5"/>
      <c r="CI244" s="713">
        <v>45565</v>
      </c>
      <c r="CJ244" t="s">
        <v>1057</v>
      </c>
      <c r="CK244" t="s">
        <v>1058</v>
      </c>
      <c r="CL244" s="5">
        <v>12146122</v>
      </c>
      <c r="CM244" s="717">
        <v>30</v>
      </c>
      <c r="CN244" s="5">
        <v>12146122</v>
      </c>
    </row>
    <row r="245" spans="65:92" x14ac:dyDescent="0.2">
      <c r="BM245" s="5"/>
      <c r="BQ245" s="215"/>
      <c r="BV245" s="5"/>
      <c r="BW245" s="5"/>
      <c r="BX245" s="5"/>
      <c r="BY245" s="5"/>
      <c r="BZ245" s="5"/>
      <c r="CA245" s="5"/>
      <c r="CI245" s="713">
        <v>45565</v>
      </c>
      <c r="CJ245" t="s">
        <v>1059</v>
      </c>
      <c r="CK245" t="s">
        <v>1060</v>
      </c>
      <c r="CL245" s="5">
        <v>3301276.04</v>
      </c>
      <c r="CM245" s="717">
        <v>9</v>
      </c>
      <c r="CN245" s="5">
        <v>3301276.04</v>
      </c>
    </row>
    <row r="246" spans="65:92" x14ac:dyDescent="0.2">
      <c r="BM246" s="5"/>
      <c r="BQ246" s="215"/>
      <c r="BV246" s="5"/>
      <c r="BW246" s="5"/>
      <c r="BX246" s="5"/>
      <c r="BY246" s="5"/>
      <c r="BZ246" s="5"/>
      <c r="CA246" s="5"/>
      <c r="CI246" s="713">
        <v>45565</v>
      </c>
      <c r="CJ246" t="s">
        <v>1061</v>
      </c>
      <c r="CK246" t="s">
        <v>1062</v>
      </c>
      <c r="CL246" s="5">
        <v>65776127</v>
      </c>
      <c r="CM246" s="717">
        <v>172</v>
      </c>
      <c r="CN246" s="5">
        <v>65776127</v>
      </c>
    </row>
    <row r="247" spans="65:92" x14ac:dyDescent="0.2">
      <c r="BM247" s="5"/>
      <c r="BQ247" s="215"/>
      <c r="BV247" s="5"/>
      <c r="BW247" s="5"/>
      <c r="BX247" s="5"/>
      <c r="BY247" s="5"/>
      <c r="BZ247" s="5"/>
      <c r="CA247" s="5"/>
      <c r="CI247" s="713">
        <v>45565</v>
      </c>
      <c r="CJ247" t="s">
        <v>1063</v>
      </c>
      <c r="CK247" t="s">
        <v>1064</v>
      </c>
      <c r="CL247" s="5">
        <v>15244360</v>
      </c>
      <c r="CM247" s="717">
        <v>21</v>
      </c>
      <c r="CN247" s="5">
        <v>15244360</v>
      </c>
    </row>
    <row r="248" spans="65:92" x14ac:dyDescent="0.2">
      <c r="BM248" s="5"/>
      <c r="BQ248" s="215"/>
      <c r="BV248" s="5"/>
      <c r="BW248" s="5"/>
      <c r="BX248" s="5"/>
      <c r="BY248" s="5"/>
      <c r="BZ248" s="5"/>
      <c r="CA248" s="5"/>
      <c r="CI248" s="713">
        <v>45565</v>
      </c>
      <c r="CJ248" t="s">
        <v>1065</v>
      </c>
      <c r="CK248" t="s">
        <v>1066</v>
      </c>
      <c r="CL248" s="5">
        <v>526507</v>
      </c>
      <c r="CM248" s="717">
        <v>3</v>
      </c>
      <c r="CN248" s="5">
        <v>526507</v>
      </c>
    </row>
    <row r="249" spans="65:92" x14ac:dyDescent="0.2">
      <c r="BM249" s="5"/>
      <c r="BQ249" s="215"/>
      <c r="BV249" s="5"/>
      <c r="BW249" s="5"/>
      <c r="BX249" s="5"/>
      <c r="BY249" s="5"/>
      <c r="BZ249" s="5"/>
      <c r="CA249" s="5"/>
      <c r="CI249" s="713">
        <v>45565</v>
      </c>
      <c r="CJ249" t="s">
        <v>1067</v>
      </c>
      <c r="CK249" t="s">
        <v>1068</v>
      </c>
      <c r="CL249" s="5">
        <v>22378996</v>
      </c>
      <c r="CM249" s="717">
        <v>55</v>
      </c>
      <c r="CN249" s="5">
        <v>22378996</v>
      </c>
    </row>
    <row r="250" spans="65:92" x14ac:dyDescent="0.2">
      <c r="BM250" s="5"/>
      <c r="BQ250" s="215"/>
      <c r="BV250" s="5"/>
      <c r="BW250" s="5"/>
      <c r="BX250" s="5"/>
      <c r="BY250" s="5"/>
      <c r="BZ250" s="5"/>
      <c r="CA250" s="5"/>
      <c r="CI250" s="713">
        <v>45565</v>
      </c>
      <c r="CJ250" t="s">
        <v>1069</v>
      </c>
      <c r="CK250" t="s">
        <v>1070</v>
      </c>
      <c r="CL250" s="5">
        <v>0</v>
      </c>
      <c r="CM250" s="717">
        <v>0</v>
      </c>
      <c r="CN250" s="5">
        <v>0</v>
      </c>
    </row>
    <row r="251" spans="65:92" x14ac:dyDescent="0.2">
      <c r="BM251" s="5"/>
      <c r="BQ251" s="215"/>
      <c r="BV251" s="5"/>
      <c r="BW251" s="5"/>
      <c r="BX251" s="5"/>
      <c r="BY251" s="5"/>
      <c r="BZ251" s="5"/>
      <c r="CA251" s="5"/>
      <c r="CI251" s="713">
        <v>45565</v>
      </c>
      <c r="CJ251" t="s">
        <v>1071</v>
      </c>
      <c r="CK251" t="s">
        <v>1072</v>
      </c>
      <c r="CL251" s="5">
        <v>0</v>
      </c>
      <c r="CM251" s="717">
        <v>0</v>
      </c>
      <c r="CN251" s="5">
        <v>0</v>
      </c>
    </row>
    <row r="252" spans="65:92" x14ac:dyDescent="0.2">
      <c r="BM252" s="5"/>
      <c r="BQ252" s="215"/>
      <c r="BV252" s="5"/>
      <c r="BW252" s="5"/>
      <c r="BX252" s="5"/>
      <c r="BY252" s="5"/>
      <c r="BZ252" s="5"/>
      <c r="CA252" s="5"/>
      <c r="CI252" s="713">
        <v>45565</v>
      </c>
      <c r="CJ252" t="s">
        <v>1073</v>
      </c>
      <c r="CK252" t="s">
        <v>1074</v>
      </c>
      <c r="CL252" s="5">
        <v>718300</v>
      </c>
      <c r="CM252" s="717">
        <v>4</v>
      </c>
      <c r="CN252" s="5">
        <v>718300</v>
      </c>
    </row>
    <row r="253" spans="65:92" x14ac:dyDescent="0.2">
      <c r="BM253" s="5"/>
      <c r="BQ253" s="215"/>
      <c r="BV253" s="5"/>
      <c r="BW253" s="5"/>
      <c r="BX253" s="5"/>
      <c r="BY253" s="5"/>
      <c r="BZ253" s="5"/>
      <c r="CA253" s="5"/>
      <c r="CI253" s="713">
        <v>45565</v>
      </c>
      <c r="CJ253" t="s">
        <v>1075</v>
      </c>
      <c r="CK253" t="s">
        <v>1076</v>
      </c>
      <c r="CL253" s="5">
        <v>831000</v>
      </c>
      <c r="CM253" s="717">
        <v>2</v>
      </c>
      <c r="CN253" s="5">
        <v>831000</v>
      </c>
    </row>
    <row r="254" spans="65:92" x14ac:dyDescent="0.2">
      <c r="BM254" s="5"/>
      <c r="BQ254" s="215"/>
      <c r="BV254" s="5"/>
      <c r="BW254" s="5"/>
      <c r="BX254" s="5"/>
      <c r="BY254" s="5"/>
      <c r="BZ254" s="5"/>
      <c r="CA254" s="5"/>
      <c r="CI254" s="713">
        <v>45565</v>
      </c>
      <c r="CJ254" t="s">
        <v>1077</v>
      </c>
      <c r="CK254" t="s">
        <v>1078</v>
      </c>
      <c r="CL254" s="5">
        <v>9114419</v>
      </c>
      <c r="CM254" s="717">
        <v>30</v>
      </c>
      <c r="CN254" s="5">
        <v>9114419</v>
      </c>
    </row>
    <row r="255" spans="65:92" x14ac:dyDescent="0.2">
      <c r="BM255" s="5"/>
      <c r="BQ255" s="215"/>
      <c r="BV255" s="5"/>
      <c r="BW255" s="5"/>
      <c r="BX255" s="5"/>
      <c r="BY255" s="5"/>
      <c r="BZ255" s="5"/>
      <c r="CA255" s="5"/>
      <c r="CI255" s="713">
        <v>45565</v>
      </c>
      <c r="CJ255" t="s">
        <v>1079</v>
      </c>
      <c r="CK255" t="s">
        <v>1080</v>
      </c>
      <c r="CL255" s="5">
        <v>1451316</v>
      </c>
      <c r="CM255" s="717">
        <v>4</v>
      </c>
      <c r="CN255" s="5">
        <v>1451316</v>
      </c>
    </row>
    <row r="256" spans="65:92" x14ac:dyDescent="0.2">
      <c r="BM256" s="5"/>
      <c r="BQ256" s="215"/>
      <c r="BV256" s="5"/>
      <c r="BW256" s="5"/>
      <c r="BX256" s="5"/>
      <c r="BY256" s="5"/>
      <c r="BZ256" s="5"/>
      <c r="CA256" s="5"/>
      <c r="CI256" s="713">
        <v>45565</v>
      </c>
      <c r="CJ256" t="s">
        <v>1081</v>
      </c>
      <c r="CK256" t="s">
        <v>1082</v>
      </c>
      <c r="CL256" s="5">
        <v>1089392</v>
      </c>
      <c r="CM256" s="717">
        <v>8</v>
      </c>
      <c r="CN256" s="5">
        <v>1089392</v>
      </c>
    </row>
    <row r="257" spans="65:92" x14ac:dyDescent="0.2">
      <c r="BM257" s="5"/>
      <c r="BQ257" s="215"/>
      <c r="BV257" s="5"/>
      <c r="BW257" s="5"/>
      <c r="BX257" s="5"/>
      <c r="BY257" s="5"/>
      <c r="BZ257" s="5"/>
      <c r="CA257" s="5"/>
      <c r="CI257" s="713">
        <v>45565</v>
      </c>
      <c r="CJ257" t="s">
        <v>1083</v>
      </c>
      <c r="CK257" t="s">
        <v>1084</v>
      </c>
      <c r="CL257" s="5">
        <v>1020000</v>
      </c>
      <c r="CM257" s="717">
        <v>4</v>
      </c>
      <c r="CN257" s="5">
        <v>1020000</v>
      </c>
    </row>
    <row r="258" spans="65:92" x14ac:dyDescent="0.2">
      <c r="BM258" s="5"/>
      <c r="BQ258" s="215"/>
      <c r="BV258" s="5"/>
      <c r="BW258" s="5"/>
      <c r="BX258" s="5"/>
      <c r="BY258" s="5"/>
      <c r="BZ258" s="5"/>
      <c r="CA258" s="5"/>
      <c r="CI258" s="713">
        <v>45565</v>
      </c>
      <c r="CJ258" t="s">
        <v>1085</v>
      </c>
      <c r="CK258" t="s">
        <v>1086</v>
      </c>
      <c r="CL258" s="5">
        <v>12469019</v>
      </c>
      <c r="CM258" s="717">
        <v>24</v>
      </c>
      <c r="CN258" s="5">
        <v>12469019</v>
      </c>
    </row>
    <row r="259" spans="65:92" x14ac:dyDescent="0.2">
      <c r="BM259" s="5"/>
      <c r="BQ259" s="215"/>
      <c r="BV259" s="5"/>
      <c r="BW259" s="5"/>
      <c r="BX259" s="5"/>
      <c r="BY259" s="5"/>
      <c r="BZ259" s="5"/>
      <c r="CA259" s="5"/>
      <c r="CI259" s="713">
        <v>45565</v>
      </c>
      <c r="CJ259" t="s">
        <v>1087</v>
      </c>
      <c r="CK259" t="s">
        <v>1088</v>
      </c>
      <c r="CL259" s="5">
        <v>20075356.170000002</v>
      </c>
      <c r="CM259" s="717">
        <v>75</v>
      </c>
      <c r="CN259" s="5">
        <v>20075356.170000002</v>
      </c>
    </row>
    <row r="260" spans="65:92" x14ac:dyDescent="0.2">
      <c r="BM260" s="5"/>
      <c r="BQ260" s="215"/>
      <c r="BV260" s="5"/>
      <c r="BW260" s="5"/>
      <c r="BX260" s="5"/>
      <c r="BY260" s="5"/>
      <c r="BZ260" s="5"/>
      <c r="CA260" s="5"/>
      <c r="CI260" s="713">
        <v>45565</v>
      </c>
      <c r="CJ260" t="s">
        <v>1089</v>
      </c>
      <c r="CK260" t="s">
        <v>1090</v>
      </c>
      <c r="CL260" s="5">
        <v>0</v>
      </c>
      <c r="CM260" s="717">
        <v>0</v>
      </c>
      <c r="CN260" s="5">
        <v>0</v>
      </c>
    </row>
    <row r="261" spans="65:92" x14ac:dyDescent="0.2">
      <c r="BM261" s="5"/>
      <c r="BQ261" s="215"/>
      <c r="BV261" s="5"/>
      <c r="BW261" s="5"/>
      <c r="BX261" s="5"/>
      <c r="BY261" s="5"/>
      <c r="BZ261" s="5"/>
      <c r="CA261" s="5"/>
      <c r="CI261" s="713">
        <v>45565</v>
      </c>
      <c r="CJ261" t="s">
        <v>1091</v>
      </c>
      <c r="CK261" t="s">
        <v>1092</v>
      </c>
      <c r="CL261" s="5">
        <v>1614077</v>
      </c>
      <c r="CM261" s="717">
        <v>9</v>
      </c>
      <c r="CN261" s="5">
        <v>1614077</v>
      </c>
    </row>
    <row r="262" spans="65:92" x14ac:dyDescent="0.2">
      <c r="BM262" s="5"/>
      <c r="BQ262" s="215"/>
      <c r="BV262" s="5"/>
      <c r="BW262" s="5"/>
      <c r="BX262" s="5"/>
      <c r="BY262" s="5"/>
      <c r="BZ262" s="5"/>
      <c r="CA262" s="5"/>
      <c r="CI262" s="713">
        <v>45565</v>
      </c>
      <c r="CJ262" t="s">
        <v>1093</v>
      </c>
      <c r="CK262" t="s">
        <v>1094</v>
      </c>
      <c r="CL262" s="5">
        <v>134670</v>
      </c>
      <c r="CM262" s="717">
        <v>1</v>
      </c>
      <c r="CN262" s="5">
        <v>134670</v>
      </c>
    </row>
    <row r="263" spans="65:92" x14ac:dyDescent="0.2">
      <c r="BM263" s="5"/>
      <c r="BQ263" s="215"/>
      <c r="BV263" s="5"/>
      <c r="BW263" s="5"/>
      <c r="BX263" s="5"/>
      <c r="BY263" s="5"/>
      <c r="BZ263" s="5"/>
      <c r="CA263" s="5"/>
      <c r="CI263" s="713">
        <v>45565</v>
      </c>
      <c r="CJ263" t="s">
        <v>1095</v>
      </c>
      <c r="CK263" t="s">
        <v>1096</v>
      </c>
      <c r="CL263" s="5">
        <v>0</v>
      </c>
      <c r="CM263" s="717">
        <v>0</v>
      </c>
      <c r="CN263" s="5">
        <v>0</v>
      </c>
    </row>
    <row r="264" spans="65:92" x14ac:dyDescent="0.2">
      <c r="BM264" s="5"/>
      <c r="BQ264" s="215"/>
      <c r="BV264" s="5"/>
      <c r="BW264" s="5"/>
      <c r="BX264" s="5"/>
      <c r="BY264" s="5"/>
      <c r="BZ264" s="5"/>
      <c r="CA264" s="5"/>
      <c r="CI264" s="713">
        <v>45565</v>
      </c>
      <c r="CJ264" t="s">
        <v>1097</v>
      </c>
      <c r="CK264" t="s">
        <v>1098</v>
      </c>
      <c r="CL264" s="5">
        <v>34526316</v>
      </c>
      <c r="CM264" s="717">
        <v>122</v>
      </c>
      <c r="CN264" s="5">
        <v>34526316</v>
      </c>
    </row>
    <row r="265" spans="65:92" x14ac:dyDescent="0.2">
      <c r="BM265" s="5"/>
      <c r="BQ265" s="215"/>
      <c r="BV265" s="5"/>
      <c r="BW265" s="5"/>
      <c r="BX265" s="5"/>
      <c r="BY265" s="5"/>
      <c r="BZ265" s="5"/>
      <c r="CA265" s="5"/>
      <c r="CI265" s="713">
        <v>45565</v>
      </c>
      <c r="CJ265" t="s">
        <v>1099</v>
      </c>
      <c r="CK265" t="s">
        <v>1100</v>
      </c>
      <c r="CL265" s="5">
        <v>806000</v>
      </c>
      <c r="CM265" s="717">
        <v>3</v>
      </c>
      <c r="CN265" s="5">
        <v>806000</v>
      </c>
    </row>
    <row r="266" spans="65:92" x14ac:dyDescent="0.2">
      <c r="BM266" s="5"/>
      <c r="BQ266" s="215"/>
      <c r="BV266" s="5"/>
      <c r="BW266" s="5"/>
      <c r="BX266" s="5"/>
      <c r="BY266" s="5"/>
      <c r="BZ266" s="5"/>
      <c r="CA266" s="5"/>
      <c r="CI266" s="713">
        <v>45565</v>
      </c>
      <c r="CJ266" t="s">
        <v>1101</v>
      </c>
      <c r="CK266" t="s">
        <v>1102</v>
      </c>
      <c r="CL266" s="5">
        <v>435000</v>
      </c>
      <c r="CM266" s="717">
        <v>2</v>
      </c>
      <c r="CN266" s="5">
        <v>435000</v>
      </c>
    </row>
    <row r="267" spans="65:92" x14ac:dyDescent="0.2">
      <c r="BM267" s="5"/>
      <c r="BQ267" s="215"/>
      <c r="BV267" s="5"/>
      <c r="BW267" s="5"/>
      <c r="BX267" s="5"/>
      <c r="BY267" s="5"/>
      <c r="BZ267" s="5"/>
      <c r="CA267" s="5"/>
      <c r="CI267" s="713">
        <v>45565</v>
      </c>
      <c r="CJ267" t="s">
        <v>1103</v>
      </c>
      <c r="CK267" t="s">
        <v>1104</v>
      </c>
      <c r="CL267" s="5">
        <v>732250</v>
      </c>
      <c r="CM267" s="717">
        <v>4</v>
      </c>
      <c r="CN267" s="5">
        <v>732250</v>
      </c>
    </row>
    <row r="268" spans="65:92" x14ac:dyDescent="0.2">
      <c r="BM268" s="5"/>
      <c r="BQ268" s="215"/>
      <c r="BV268" s="5"/>
      <c r="BW268" s="5"/>
      <c r="BX268" s="5"/>
      <c r="BY268" s="5"/>
      <c r="BZ268" s="5"/>
      <c r="CA268" s="5"/>
      <c r="CI268" s="713">
        <v>45565</v>
      </c>
      <c r="CJ268" t="s">
        <v>1105</v>
      </c>
      <c r="CK268" t="s">
        <v>1106</v>
      </c>
      <c r="CL268" s="5">
        <v>1405771</v>
      </c>
      <c r="CM268" s="717">
        <v>6</v>
      </c>
      <c r="CN268" s="5">
        <v>1405771</v>
      </c>
    </row>
    <row r="269" spans="65:92" x14ac:dyDescent="0.2">
      <c r="BM269" s="5"/>
      <c r="BQ269" s="215"/>
      <c r="BV269" s="5"/>
      <c r="BW269" s="5"/>
      <c r="BX269" s="5"/>
      <c r="BY269" s="5"/>
      <c r="BZ269" s="5"/>
      <c r="CA269" s="5"/>
      <c r="CI269" s="713">
        <v>45565</v>
      </c>
      <c r="CJ269" t="s">
        <v>1107</v>
      </c>
      <c r="CK269" t="s">
        <v>1108</v>
      </c>
      <c r="CL269" s="5">
        <v>1982965</v>
      </c>
      <c r="CM269" s="717">
        <v>7</v>
      </c>
      <c r="CN269" s="5">
        <v>1982965</v>
      </c>
    </row>
    <row r="270" spans="65:92" x14ac:dyDescent="0.2">
      <c r="BM270" s="5"/>
      <c r="BQ270" s="215"/>
      <c r="BV270" s="5"/>
      <c r="BW270" s="5"/>
      <c r="BX270" s="5"/>
      <c r="BY270" s="5"/>
      <c r="BZ270" s="5"/>
      <c r="CA270" s="5"/>
      <c r="CI270" s="713">
        <v>45565</v>
      </c>
      <c r="CJ270" t="s">
        <v>1109</v>
      </c>
      <c r="CK270" t="s">
        <v>1110</v>
      </c>
      <c r="CL270" s="5">
        <v>717971</v>
      </c>
      <c r="CM270" s="717">
        <v>2</v>
      </c>
      <c r="CN270" s="5">
        <v>717971</v>
      </c>
    </row>
    <row r="271" spans="65:92" x14ac:dyDescent="0.2">
      <c r="BM271" s="5"/>
      <c r="BQ271" s="215"/>
      <c r="BV271" s="5"/>
      <c r="BW271" s="5"/>
      <c r="BX271" s="5"/>
      <c r="BY271" s="5"/>
      <c r="BZ271" s="5"/>
      <c r="CA271" s="5"/>
      <c r="CI271" s="713">
        <v>45565</v>
      </c>
      <c r="CJ271" t="s">
        <v>1111</v>
      </c>
      <c r="CK271" t="s">
        <v>1112</v>
      </c>
      <c r="CL271" s="5">
        <v>243200</v>
      </c>
      <c r="CM271" s="717">
        <v>1</v>
      </c>
      <c r="CN271" s="5">
        <v>243200</v>
      </c>
    </row>
    <row r="272" spans="65:92" x14ac:dyDescent="0.2">
      <c r="BM272" s="5"/>
      <c r="BQ272" s="215"/>
      <c r="BV272" s="5"/>
      <c r="BW272" s="5"/>
      <c r="BX272" s="5"/>
      <c r="BY272" s="5"/>
      <c r="BZ272" s="5"/>
      <c r="CA272" s="5"/>
      <c r="CI272" s="713">
        <v>45565</v>
      </c>
      <c r="CJ272" t="s">
        <v>1113</v>
      </c>
      <c r="CK272" t="s">
        <v>1114</v>
      </c>
      <c r="CL272" s="5">
        <v>220285</v>
      </c>
      <c r="CM272" s="717">
        <v>1</v>
      </c>
      <c r="CN272" s="5">
        <v>220285</v>
      </c>
    </row>
    <row r="273" spans="65:92" x14ac:dyDescent="0.2">
      <c r="BM273" s="5"/>
      <c r="BQ273" s="215"/>
      <c r="BV273" s="5"/>
      <c r="BW273" s="5"/>
      <c r="BX273" s="5"/>
      <c r="BY273" s="5"/>
      <c r="BZ273" s="5"/>
      <c r="CA273" s="5"/>
      <c r="CI273" s="713">
        <v>45565</v>
      </c>
      <c r="CJ273" t="s">
        <v>1115</v>
      </c>
      <c r="CK273" t="s">
        <v>1116</v>
      </c>
      <c r="CL273" s="5">
        <v>2851009</v>
      </c>
      <c r="CM273" s="717">
        <v>13</v>
      </c>
      <c r="CN273" s="5">
        <v>2851009</v>
      </c>
    </row>
    <row r="274" spans="65:92" x14ac:dyDescent="0.2">
      <c r="BM274" s="5"/>
      <c r="BQ274" s="215"/>
      <c r="BV274" s="5"/>
      <c r="BW274" s="5"/>
      <c r="BX274" s="5"/>
      <c r="BY274" s="5"/>
      <c r="BZ274" s="5"/>
      <c r="CA274" s="5"/>
      <c r="CI274" s="713">
        <v>45565</v>
      </c>
      <c r="CJ274" t="s">
        <v>1117</v>
      </c>
      <c r="CK274" t="s">
        <v>1118</v>
      </c>
      <c r="CL274" s="5">
        <v>5621173</v>
      </c>
      <c r="CM274" s="717">
        <v>14</v>
      </c>
      <c r="CN274" s="5">
        <v>5621173</v>
      </c>
    </row>
    <row r="275" spans="65:92" x14ac:dyDescent="0.2">
      <c r="BM275" s="5"/>
      <c r="BQ275" s="215"/>
      <c r="BV275" s="5"/>
      <c r="BW275" s="5"/>
      <c r="BX275" s="5"/>
      <c r="BY275" s="5"/>
      <c r="BZ275" s="5"/>
      <c r="CA275" s="5"/>
      <c r="CI275" s="713">
        <v>45565</v>
      </c>
      <c r="CJ275" t="s">
        <v>1119</v>
      </c>
      <c r="CK275" t="s">
        <v>1120</v>
      </c>
      <c r="CL275" s="5">
        <v>1105000</v>
      </c>
      <c r="CM275" s="717">
        <v>3</v>
      </c>
      <c r="CN275" s="5">
        <v>1105000</v>
      </c>
    </row>
    <row r="276" spans="65:92" x14ac:dyDescent="0.2">
      <c r="BM276" s="5"/>
      <c r="BQ276" s="215"/>
      <c r="BV276" s="5"/>
      <c r="BW276" s="5"/>
      <c r="BX276" s="5"/>
      <c r="BY276" s="5"/>
      <c r="BZ276" s="5"/>
      <c r="CA276" s="5"/>
      <c r="CI276" s="713">
        <v>45565</v>
      </c>
      <c r="CJ276" t="s">
        <v>1121</v>
      </c>
      <c r="CK276" t="s">
        <v>1122</v>
      </c>
      <c r="CL276" s="5">
        <v>2220852</v>
      </c>
      <c r="CM276" s="717">
        <v>8</v>
      </c>
      <c r="CN276" s="5">
        <v>2220852</v>
      </c>
    </row>
    <row r="277" spans="65:92" x14ac:dyDescent="0.2">
      <c r="BM277" s="5"/>
      <c r="BQ277" s="215"/>
      <c r="BV277" s="5"/>
      <c r="BW277" s="5"/>
      <c r="BX277" s="5"/>
      <c r="BY277" s="5"/>
      <c r="BZ277" s="5"/>
      <c r="CA277" s="5"/>
      <c r="CI277" s="713">
        <v>45565</v>
      </c>
      <c r="CJ277" t="s">
        <v>1123</v>
      </c>
      <c r="CK277" t="s">
        <v>1124</v>
      </c>
      <c r="CL277" s="5">
        <v>15045915</v>
      </c>
      <c r="CM277" s="717">
        <v>53</v>
      </c>
      <c r="CN277" s="5">
        <v>15045915</v>
      </c>
    </row>
    <row r="278" spans="65:92" x14ac:dyDescent="0.2">
      <c r="BM278" s="5"/>
      <c r="BQ278" s="215"/>
      <c r="BV278" s="5"/>
      <c r="BW278" s="5"/>
      <c r="BX278" s="5"/>
      <c r="BY278" s="5"/>
      <c r="BZ278" s="5"/>
      <c r="CA278" s="5"/>
      <c r="CI278" s="713">
        <v>45565</v>
      </c>
      <c r="CJ278" t="s">
        <v>1125</v>
      </c>
      <c r="CK278" t="s">
        <v>1126</v>
      </c>
      <c r="CL278" s="5">
        <v>3814466</v>
      </c>
      <c r="CM278" s="717">
        <v>15</v>
      </c>
      <c r="CN278" s="5">
        <v>3814466</v>
      </c>
    </row>
    <row r="279" spans="65:92" x14ac:dyDescent="0.2">
      <c r="BM279" s="5"/>
      <c r="BQ279" s="215"/>
      <c r="BV279" s="5"/>
      <c r="BW279" s="5"/>
      <c r="BX279" s="5"/>
      <c r="BY279" s="5"/>
      <c r="BZ279" s="5"/>
      <c r="CA279" s="5"/>
      <c r="CI279" s="713">
        <v>45565</v>
      </c>
      <c r="CJ279" t="s">
        <v>1127</v>
      </c>
      <c r="CK279" t="s">
        <v>1128</v>
      </c>
      <c r="CL279" s="5">
        <v>56640763</v>
      </c>
      <c r="CM279" s="717">
        <v>146</v>
      </c>
      <c r="CN279" s="5">
        <v>56640763</v>
      </c>
    </row>
    <row r="280" spans="65:92" x14ac:dyDescent="0.2">
      <c r="BM280" s="5"/>
      <c r="BQ280" s="215"/>
      <c r="BV280" s="5"/>
      <c r="BW280" s="5"/>
      <c r="BX280" s="5"/>
      <c r="BY280" s="5"/>
      <c r="BZ280" s="5"/>
      <c r="CA280" s="5"/>
      <c r="CI280" s="713">
        <v>45565</v>
      </c>
      <c r="CJ280" t="s">
        <v>1129</v>
      </c>
      <c r="CK280" t="s">
        <v>1130</v>
      </c>
      <c r="CL280" s="5">
        <v>18181286</v>
      </c>
      <c r="CM280" s="717">
        <v>45</v>
      </c>
      <c r="CN280" s="5">
        <v>18181286</v>
      </c>
    </row>
    <row r="281" spans="65:92" x14ac:dyDescent="0.2">
      <c r="BM281" s="5"/>
      <c r="BQ281" s="215"/>
      <c r="BV281" s="5"/>
      <c r="BW281" s="5"/>
      <c r="BX281" s="5"/>
      <c r="BY281" s="5"/>
      <c r="BZ281" s="5"/>
      <c r="CA281" s="5"/>
      <c r="CI281" s="713">
        <v>45565</v>
      </c>
      <c r="CJ281" t="s">
        <v>1131</v>
      </c>
      <c r="CK281" t="s">
        <v>1132</v>
      </c>
      <c r="CL281" s="5">
        <v>17950902</v>
      </c>
      <c r="CM281" s="717">
        <v>42</v>
      </c>
      <c r="CN281" s="5">
        <v>17950902</v>
      </c>
    </row>
    <row r="282" spans="65:92" x14ac:dyDescent="0.2">
      <c r="BM282" s="5"/>
      <c r="BQ282" s="215"/>
      <c r="BV282" s="5"/>
      <c r="BW282" s="5"/>
      <c r="BX282" s="5"/>
      <c r="BY282" s="5"/>
      <c r="BZ282" s="5"/>
      <c r="CA282" s="5"/>
      <c r="CI282" s="713">
        <v>45565</v>
      </c>
      <c r="CJ282" t="s">
        <v>1133</v>
      </c>
      <c r="CK282" t="s">
        <v>1134</v>
      </c>
      <c r="CL282" s="5">
        <v>3045286</v>
      </c>
      <c r="CM282" s="717">
        <v>13</v>
      </c>
      <c r="CN282" s="5">
        <v>3045286</v>
      </c>
    </row>
    <row r="283" spans="65:92" x14ac:dyDescent="0.2">
      <c r="BM283" s="5"/>
      <c r="BQ283" s="215"/>
      <c r="BV283" s="5"/>
      <c r="BW283" s="5"/>
      <c r="BX283" s="5"/>
      <c r="BY283" s="5"/>
      <c r="BZ283" s="5"/>
      <c r="CA283" s="5"/>
      <c r="CI283" s="713">
        <v>45565</v>
      </c>
      <c r="CJ283" t="s">
        <v>1135</v>
      </c>
      <c r="CK283" t="s">
        <v>1136</v>
      </c>
      <c r="CL283" s="5">
        <v>0</v>
      </c>
      <c r="CM283" s="717">
        <v>0</v>
      </c>
      <c r="CN283" s="5">
        <v>0</v>
      </c>
    </row>
    <row r="284" spans="65:92" x14ac:dyDescent="0.2">
      <c r="BM284" s="5"/>
      <c r="BQ284" s="215"/>
      <c r="BV284" s="5"/>
      <c r="BW284" s="5"/>
      <c r="BX284" s="5"/>
      <c r="BY284" s="5"/>
      <c r="BZ284" s="5"/>
      <c r="CA284" s="5"/>
      <c r="CI284" s="713">
        <v>45565</v>
      </c>
      <c r="CJ284" t="s">
        <v>1137</v>
      </c>
      <c r="CK284" t="s">
        <v>1138</v>
      </c>
      <c r="CL284" s="5">
        <v>128929254.56</v>
      </c>
      <c r="CM284" s="717">
        <v>276</v>
      </c>
      <c r="CN284" s="5">
        <v>128929254.56</v>
      </c>
    </row>
    <row r="285" spans="65:92" x14ac:dyDescent="0.2">
      <c r="BM285" s="5"/>
      <c r="BQ285" s="215"/>
      <c r="BV285" s="5"/>
      <c r="BW285" s="5"/>
      <c r="BX285" s="5"/>
      <c r="BY285" s="5"/>
      <c r="BZ285" s="5"/>
      <c r="CA285" s="5"/>
      <c r="CI285" s="713">
        <v>45565</v>
      </c>
      <c r="CJ285" t="s">
        <v>1139</v>
      </c>
      <c r="CK285" t="s">
        <v>1140</v>
      </c>
      <c r="CL285" s="5">
        <v>45495181.670000002</v>
      </c>
      <c r="CM285" s="717">
        <v>118</v>
      </c>
      <c r="CN285" s="5">
        <v>45495181.670000002</v>
      </c>
    </row>
    <row r="286" spans="65:92" x14ac:dyDescent="0.2">
      <c r="BM286" s="5"/>
      <c r="BQ286" s="215"/>
      <c r="BV286" s="5"/>
      <c r="BW286" s="5"/>
      <c r="BX286" s="5"/>
      <c r="BY286" s="5"/>
      <c r="BZ286" s="5"/>
      <c r="CA286" s="5"/>
      <c r="CI286" s="713">
        <v>45565</v>
      </c>
      <c r="CJ286" t="s">
        <v>1141</v>
      </c>
      <c r="CK286" t="s">
        <v>1142</v>
      </c>
      <c r="CL286" s="5">
        <v>39794162.43</v>
      </c>
      <c r="CM286" s="717">
        <v>93</v>
      </c>
      <c r="CN286" s="5">
        <v>39794162.43</v>
      </c>
    </row>
    <row r="287" spans="65:92" x14ac:dyDescent="0.2">
      <c r="BM287" s="5"/>
      <c r="BQ287" s="215"/>
      <c r="BV287" s="5"/>
      <c r="BW287" s="5"/>
      <c r="BX287" s="5"/>
      <c r="BY287" s="5"/>
      <c r="BZ287" s="5"/>
      <c r="CA287" s="5"/>
      <c r="CI287" s="713">
        <v>45565</v>
      </c>
      <c r="CJ287" t="s">
        <v>1143</v>
      </c>
      <c r="CK287" t="s">
        <v>1144</v>
      </c>
      <c r="CL287" s="5">
        <v>6332628</v>
      </c>
      <c r="CM287" s="717">
        <v>16</v>
      </c>
      <c r="CN287" s="5">
        <v>6332628</v>
      </c>
    </row>
    <row r="288" spans="65:92" x14ac:dyDescent="0.2">
      <c r="BM288" s="5"/>
      <c r="BQ288" s="215"/>
      <c r="BV288" s="5"/>
      <c r="BW288" s="5"/>
      <c r="BX288" s="5"/>
      <c r="BY288" s="5"/>
      <c r="BZ288" s="5"/>
      <c r="CA288" s="5"/>
      <c r="CI288" s="713">
        <v>45565</v>
      </c>
      <c r="CJ288" t="s">
        <v>1145</v>
      </c>
      <c r="CK288" t="s">
        <v>1146</v>
      </c>
      <c r="CL288" s="5">
        <v>3709000</v>
      </c>
      <c r="CM288" s="717">
        <v>7</v>
      </c>
      <c r="CN288" s="5">
        <v>3709000</v>
      </c>
    </row>
    <row r="289" spans="65:92" x14ac:dyDescent="0.2">
      <c r="BM289" s="5"/>
      <c r="BQ289" s="215"/>
      <c r="BV289" s="5"/>
      <c r="BW289" s="5"/>
      <c r="BX289" s="5"/>
      <c r="BY289" s="5"/>
      <c r="BZ289" s="5"/>
      <c r="CA289" s="5"/>
      <c r="CI289" s="713">
        <v>45565</v>
      </c>
      <c r="CJ289" t="s">
        <v>1147</v>
      </c>
      <c r="CK289" t="s">
        <v>1148</v>
      </c>
      <c r="CL289" s="5">
        <v>3130000</v>
      </c>
      <c r="CM289" s="717">
        <v>9</v>
      </c>
      <c r="CN289" s="5">
        <v>3130000</v>
      </c>
    </row>
    <row r="290" spans="65:92" x14ac:dyDescent="0.2">
      <c r="BM290" s="5"/>
      <c r="BQ290" s="215"/>
      <c r="BV290" s="5"/>
      <c r="BW290" s="5"/>
      <c r="BX290" s="5"/>
      <c r="BY290" s="5"/>
      <c r="BZ290" s="5"/>
      <c r="CA290" s="5"/>
      <c r="CI290" s="713">
        <v>45565</v>
      </c>
      <c r="CJ290" t="s">
        <v>500</v>
      </c>
      <c r="CK290" t="s">
        <v>1149</v>
      </c>
      <c r="CL290" s="5">
        <v>0</v>
      </c>
      <c r="CM290" s="717">
        <v>0</v>
      </c>
      <c r="CN290" s="5">
        <v>0</v>
      </c>
    </row>
    <row r="291" spans="65:92" x14ac:dyDescent="0.2">
      <c r="BM291" s="5"/>
      <c r="BQ291" s="215"/>
      <c r="BV291" s="5"/>
      <c r="BW291" s="5"/>
      <c r="BX291" s="5"/>
      <c r="BY291" s="5"/>
      <c r="BZ291" s="5"/>
      <c r="CA291" s="5"/>
      <c r="CI291" s="713">
        <v>45565</v>
      </c>
      <c r="CJ291" t="s">
        <v>501</v>
      </c>
      <c r="CK291" t="s">
        <v>1150</v>
      </c>
      <c r="CL291" s="5">
        <v>0</v>
      </c>
      <c r="CM291" s="717">
        <v>0</v>
      </c>
      <c r="CN291" s="5">
        <v>0</v>
      </c>
    </row>
    <row r="292" spans="65:92" x14ac:dyDescent="0.2">
      <c r="BM292" s="5"/>
      <c r="BQ292" s="215"/>
      <c r="BV292" s="5"/>
      <c r="BW292" s="5"/>
      <c r="BX292" s="5"/>
      <c r="BY292" s="5"/>
      <c r="BZ292" s="5"/>
      <c r="CA292" s="5"/>
      <c r="CI292" s="713">
        <v>45565</v>
      </c>
      <c r="CJ292" t="s">
        <v>502</v>
      </c>
      <c r="CK292" t="s">
        <v>1151</v>
      </c>
      <c r="CL292" s="5">
        <v>0</v>
      </c>
      <c r="CM292" s="717">
        <v>0</v>
      </c>
      <c r="CN292" s="5">
        <v>0</v>
      </c>
    </row>
    <row r="293" spans="65:92" x14ac:dyDescent="0.2">
      <c r="BM293" s="5"/>
      <c r="BQ293" s="215"/>
      <c r="BV293" s="5"/>
      <c r="BW293" s="5"/>
      <c r="BX293" s="5"/>
      <c r="BY293" s="5"/>
      <c r="BZ293" s="5"/>
      <c r="CA293" s="5"/>
      <c r="CI293" s="713">
        <v>45565</v>
      </c>
      <c r="CJ293" t="s">
        <v>1152</v>
      </c>
      <c r="CK293" t="s">
        <v>1153</v>
      </c>
      <c r="CL293" s="5">
        <v>0</v>
      </c>
      <c r="CM293" s="717">
        <v>0</v>
      </c>
      <c r="CN293" s="5">
        <v>0</v>
      </c>
    </row>
    <row r="294" spans="65:92" x14ac:dyDescent="0.2">
      <c r="BM294" s="5"/>
      <c r="BQ294" s="215"/>
      <c r="BV294" s="5"/>
      <c r="BW294" s="5"/>
      <c r="BX294" s="5"/>
      <c r="BY294" s="5"/>
      <c r="BZ294" s="5"/>
      <c r="CA294" s="5"/>
      <c r="CI294" s="713">
        <v>45565</v>
      </c>
      <c r="CJ294" t="s">
        <v>1154</v>
      </c>
      <c r="CK294" t="s">
        <v>1155</v>
      </c>
      <c r="CL294" s="5">
        <v>0</v>
      </c>
      <c r="CM294" s="717">
        <v>0</v>
      </c>
      <c r="CN294" s="5">
        <v>0</v>
      </c>
    </row>
    <row r="295" spans="65:92" x14ac:dyDescent="0.2">
      <c r="BM295" s="5"/>
      <c r="BQ295" s="215"/>
      <c r="BV295" s="5"/>
      <c r="BW295" s="5"/>
      <c r="BX295" s="5"/>
      <c r="BY295" s="5"/>
      <c r="BZ295" s="5"/>
      <c r="CA295" s="5"/>
      <c r="CI295" s="713">
        <v>45565</v>
      </c>
      <c r="CJ295" t="s">
        <v>1156</v>
      </c>
      <c r="CK295" t="s">
        <v>1157</v>
      </c>
      <c r="CL295" s="5">
        <v>16984289</v>
      </c>
      <c r="CM295" s="717">
        <v>51</v>
      </c>
      <c r="CN295" s="5">
        <v>16984289</v>
      </c>
    </row>
    <row r="296" spans="65:92" x14ac:dyDescent="0.2">
      <c r="BM296" s="5"/>
      <c r="BQ296" s="215"/>
      <c r="BV296" s="5"/>
      <c r="BW296" s="5"/>
      <c r="BX296" s="5"/>
      <c r="BY296" s="5"/>
      <c r="BZ296" s="5"/>
      <c r="CA296" s="5"/>
      <c r="CI296" s="713">
        <v>45565</v>
      </c>
      <c r="CJ296" t="s">
        <v>504</v>
      </c>
      <c r="CK296" t="s">
        <v>962</v>
      </c>
      <c r="CL296" s="5">
        <v>124845800.77</v>
      </c>
      <c r="CM296" s="717">
        <v>167</v>
      </c>
      <c r="CN296" s="5">
        <v>124845800.77</v>
      </c>
    </row>
    <row r="297" spans="65:92" x14ac:dyDescent="0.2">
      <c r="BM297" s="5"/>
      <c r="BQ297" s="215"/>
      <c r="BV297" s="5"/>
      <c r="BW297" s="5"/>
      <c r="BX297" s="5"/>
      <c r="BY297" s="5"/>
      <c r="BZ297" s="5"/>
      <c r="CA297" s="5"/>
      <c r="CI297" s="713">
        <v>45565</v>
      </c>
      <c r="CJ297" t="s">
        <v>506</v>
      </c>
      <c r="CK297" t="s">
        <v>963</v>
      </c>
      <c r="CL297" s="5">
        <v>7248256.0600000005</v>
      </c>
      <c r="CM297" s="717">
        <v>29</v>
      </c>
      <c r="CN297" s="5">
        <v>7248256.0600000005</v>
      </c>
    </row>
    <row r="298" spans="65:92" x14ac:dyDescent="0.2">
      <c r="BM298" s="5"/>
      <c r="BQ298" s="215"/>
      <c r="BV298" s="5"/>
      <c r="BW298" s="5"/>
      <c r="BX298" s="5"/>
      <c r="BY298" s="5"/>
      <c r="BZ298" s="5"/>
      <c r="CA298" s="5"/>
      <c r="CI298" s="713">
        <v>45565</v>
      </c>
      <c r="CJ298" t="s">
        <v>508</v>
      </c>
      <c r="CK298" t="s">
        <v>964</v>
      </c>
      <c r="CL298" s="5">
        <v>23998742.760000002</v>
      </c>
      <c r="CM298" s="717">
        <v>41</v>
      </c>
      <c r="CN298" s="5">
        <v>23998742.760000002</v>
      </c>
    </row>
    <row r="299" spans="65:92" x14ac:dyDescent="0.2">
      <c r="BM299" s="5"/>
      <c r="BQ299" s="215"/>
      <c r="BV299" s="5"/>
      <c r="BW299" s="5"/>
      <c r="BX299" s="5"/>
      <c r="BY299" s="5"/>
      <c r="BZ299" s="5"/>
      <c r="CA299" s="5"/>
      <c r="CI299" s="713">
        <v>45565</v>
      </c>
      <c r="CJ299" t="s">
        <v>510</v>
      </c>
      <c r="CK299" t="s">
        <v>965</v>
      </c>
      <c r="CL299" s="5">
        <v>6492123</v>
      </c>
      <c r="CM299" s="717">
        <v>18</v>
      </c>
      <c r="CN299" s="5">
        <v>6492123</v>
      </c>
    </row>
    <row r="300" spans="65:92" x14ac:dyDescent="0.2">
      <c r="BM300" s="5"/>
      <c r="BQ300" s="215"/>
      <c r="BV300" s="5"/>
      <c r="BW300" s="5"/>
      <c r="BX300" s="5"/>
      <c r="BY300" s="5"/>
      <c r="BZ300" s="5"/>
      <c r="CA300" s="5"/>
      <c r="CI300" s="713">
        <v>45565</v>
      </c>
      <c r="CJ300" t="s">
        <v>512</v>
      </c>
      <c r="CK300" t="s">
        <v>966</v>
      </c>
      <c r="CL300" s="5">
        <v>34762412.789999999</v>
      </c>
      <c r="CM300" s="717">
        <v>70</v>
      </c>
      <c r="CN300" s="5">
        <v>34762412.789999999</v>
      </c>
    </row>
    <row r="301" spans="65:92" x14ac:dyDescent="0.2">
      <c r="BM301" s="5"/>
      <c r="BQ301" s="215"/>
      <c r="BV301" s="5"/>
      <c r="BW301" s="5"/>
      <c r="BX301" s="5"/>
      <c r="BY301" s="5"/>
      <c r="BZ301" s="5"/>
      <c r="CA301" s="5"/>
      <c r="CI301" s="713">
        <v>45565</v>
      </c>
      <c r="CJ301" t="s">
        <v>514</v>
      </c>
      <c r="CK301" t="s">
        <v>968</v>
      </c>
      <c r="CL301" s="5">
        <v>20300480.059999999</v>
      </c>
      <c r="CM301" s="717">
        <v>86</v>
      </c>
      <c r="CN301" s="5">
        <v>20300480.059999999</v>
      </c>
    </row>
    <row r="302" spans="65:92" x14ac:dyDescent="0.2">
      <c r="BM302" s="5"/>
      <c r="BQ302" s="215"/>
      <c r="BV302" s="5"/>
      <c r="BW302" s="5"/>
      <c r="BX302" s="5"/>
      <c r="BY302" s="5"/>
      <c r="BZ302" s="5"/>
      <c r="CA302" s="5"/>
      <c r="CI302" s="713">
        <v>45565</v>
      </c>
      <c r="CJ302" t="s">
        <v>516</v>
      </c>
      <c r="CK302" t="s">
        <v>970</v>
      </c>
      <c r="CL302" s="5">
        <v>20007420</v>
      </c>
      <c r="CM302" s="717">
        <v>47</v>
      </c>
      <c r="CN302" s="5">
        <v>20007420</v>
      </c>
    </row>
    <row r="303" spans="65:92" x14ac:dyDescent="0.2">
      <c r="BM303" s="5"/>
      <c r="BQ303" s="215"/>
      <c r="BV303" s="5"/>
      <c r="BW303" s="5"/>
      <c r="BX303" s="5"/>
      <c r="BY303" s="5"/>
      <c r="BZ303" s="5"/>
      <c r="CA303" s="5"/>
      <c r="CI303" s="713">
        <v>45565</v>
      </c>
      <c r="CJ303" t="s">
        <v>518</v>
      </c>
      <c r="CK303" t="s">
        <v>972</v>
      </c>
      <c r="CL303" s="5">
        <v>9989239.1099999994</v>
      </c>
      <c r="CM303" s="717">
        <v>42</v>
      </c>
      <c r="CN303" s="5">
        <v>9989239.1099999994</v>
      </c>
    </row>
    <row r="304" spans="65:92" x14ac:dyDescent="0.2">
      <c r="BM304" s="5"/>
      <c r="BQ304" s="215"/>
      <c r="BV304" s="5"/>
      <c r="BW304" s="5"/>
      <c r="BX304" s="5"/>
      <c r="BY304" s="5"/>
      <c r="BZ304" s="5"/>
      <c r="CA304" s="5"/>
      <c r="CI304" s="713">
        <v>45565</v>
      </c>
      <c r="CJ304" t="s">
        <v>520</v>
      </c>
      <c r="CK304" t="s">
        <v>974</v>
      </c>
      <c r="CL304" s="5">
        <v>0</v>
      </c>
      <c r="CM304" s="717">
        <v>0</v>
      </c>
      <c r="CN304" s="5">
        <v>0</v>
      </c>
    </row>
    <row r="305" spans="65:92" x14ac:dyDescent="0.2">
      <c r="BM305" s="5"/>
      <c r="BQ305" s="215"/>
      <c r="BV305" s="5"/>
      <c r="BW305" s="5"/>
      <c r="BX305" s="5"/>
      <c r="BY305" s="5"/>
      <c r="BZ305" s="5"/>
      <c r="CA305" s="5"/>
      <c r="CI305" s="713">
        <v>45565</v>
      </c>
      <c r="CJ305" t="s">
        <v>1158</v>
      </c>
      <c r="CK305" t="s">
        <v>976</v>
      </c>
      <c r="CL305" s="5">
        <v>708000</v>
      </c>
      <c r="CM305" s="717">
        <v>3</v>
      </c>
      <c r="CN305" s="5">
        <v>708000</v>
      </c>
    </row>
    <row r="306" spans="65:92" x14ac:dyDescent="0.2">
      <c r="BM306" s="5"/>
      <c r="BQ306" s="215"/>
      <c r="BV306" s="5"/>
      <c r="BW306" s="5"/>
      <c r="BX306" s="5"/>
      <c r="BY306" s="5"/>
      <c r="BZ306" s="5"/>
      <c r="CA306" s="5"/>
      <c r="CI306" s="713">
        <v>45565</v>
      </c>
      <c r="CJ306" t="s">
        <v>1159</v>
      </c>
      <c r="CK306" t="s">
        <v>978</v>
      </c>
      <c r="CL306" s="5">
        <v>0</v>
      </c>
      <c r="CM306" s="717">
        <v>0</v>
      </c>
      <c r="CN306" s="5">
        <v>0</v>
      </c>
    </row>
    <row r="307" spans="65:92" x14ac:dyDescent="0.2">
      <c r="BM307" s="5"/>
      <c r="BQ307" s="215"/>
      <c r="BV307" s="5"/>
      <c r="BW307" s="5"/>
      <c r="BX307" s="5"/>
      <c r="BY307" s="5"/>
      <c r="BZ307" s="5"/>
      <c r="CA307" s="5"/>
      <c r="CI307" s="713">
        <v>45565</v>
      </c>
      <c r="CJ307" t="s">
        <v>1160</v>
      </c>
      <c r="CK307" t="s">
        <v>980</v>
      </c>
      <c r="CL307" s="5">
        <v>594860</v>
      </c>
      <c r="CM307" s="717">
        <v>4</v>
      </c>
      <c r="CN307" s="5">
        <v>594860</v>
      </c>
    </row>
    <row r="308" spans="65:92" x14ac:dyDescent="0.2">
      <c r="BM308" s="5"/>
      <c r="BQ308" s="215"/>
      <c r="BV308" s="5"/>
      <c r="BW308" s="5"/>
      <c r="BX308" s="5"/>
      <c r="BY308" s="5"/>
      <c r="BZ308" s="5"/>
      <c r="CA308" s="5"/>
      <c r="CI308" s="713">
        <v>45565</v>
      </c>
      <c r="CJ308" t="s">
        <v>1161</v>
      </c>
      <c r="CK308" t="s">
        <v>982</v>
      </c>
      <c r="CL308" s="5">
        <v>111000</v>
      </c>
      <c r="CM308" s="717">
        <v>1</v>
      </c>
      <c r="CN308" s="5">
        <v>111000</v>
      </c>
    </row>
    <row r="309" spans="65:92" x14ac:dyDescent="0.2">
      <c r="BM309" s="5"/>
      <c r="BQ309" s="215"/>
      <c r="BV309" s="5"/>
      <c r="BW309" s="5"/>
      <c r="BX309" s="5"/>
      <c r="BY309" s="5"/>
      <c r="BZ309" s="5"/>
      <c r="CA309" s="5"/>
      <c r="CI309" s="713">
        <v>45565</v>
      </c>
      <c r="CJ309" t="s">
        <v>1162</v>
      </c>
      <c r="CK309" t="s">
        <v>984</v>
      </c>
      <c r="CL309" s="5">
        <v>1096200</v>
      </c>
      <c r="CM309" s="717">
        <v>4</v>
      </c>
      <c r="CN309" s="5">
        <v>1096200</v>
      </c>
    </row>
    <row r="310" spans="65:92" x14ac:dyDescent="0.2">
      <c r="BM310" s="5"/>
      <c r="BQ310" s="215"/>
      <c r="BV310" s="5"/>
      <c r="BW310" s="5"/>
      <c r="BX310" s="5"/>
      <c r="BY310" s="5"/>
      <c r="BZ310" s="5"/>
      <c r="CA310" s="5"/>
      <c r="CI310" s="713">
        <v>45565</v>
      </c>
      <c r="CJ310" t="s">
        <v>1163</v>
      </c>
      <c r="CK310" t="s">
        <v>986</v>
      </c>
      <c r="CL310" s="5">
        <v>0</v>
      </c>
      <c r="CM310" s="717">
        <v>0</v>
      </c>
      <c r="CN310" s="5">
        <v>0</v>
      </c>
    </row>
    <row r="311" spans="65:92" x14ac:dyDescent="0.2">
      <c r="BM311" s="5"/>
      <c r="BQ311" s="215"/>
      <c r="BV311" s="5"/>
      <c r="BW311" s="5"/>
      <c r="BX311" s="5"/>
      <c r="BY311" s="5"/>
      <c r="BZ311" s="5"/>
      <c r="CA311" s="5"/>
      <c r="CI311" s="713">
        <v>45565</v>
      </c>
      <c r="CJ311" t="s">
        <v>1164</v>
      </c>
      <c r="CK311" t="s">
        <v>988</v>
      </c>
      <c r="CL311" s="5">
        <v>0</v>
      </c>
      <c r="CM311" s="717">
        <v>0</v>
      </c>
      <c r="CN311" s="5">
        <v>0</v>
      </c>
    </row>
    <row r="312" spans="65:92" x14ac:dyDescent="0.2">
      <c r="BM312" s="5"/>
      <c r="BQ312" s="215"/>
      <c r="BV312" s="5"/>
      <c r="BW312" s="5"/>
      <c r="BX312" s="5"/>
      <c r="BY312" s="5"/>
      <c r="BZ312" s="5"/>
      <c r="CA312" s="5"/>
      <c r="CI312" s="713">
        <v>45565</v>
      </c>
      <c r="CJ312" t="s">
        <v>1165</v>
      </c>
      <c r="CK312" t="s">
        <v>990</v>
      </c>
      <c r="CL312" s="5">
        <v>0</v>
      </c>
      <c r="CM312" s="717">
        <v>0</v>
      </c>
      <c r="CN312" s="5">
        <v>0</v>
      </c>
    </row>
    <row r="313" spans="65:92" x14ac:dyDescent="0.2">
      <c r="BM313" s="5"/>
      <c r="BQ313" s="215"/>
      <c r="BV313" s="5"/>
      <c r="BW313" s="5"/>
      <c r="BX313" s="5"/>
      <c r="BY313" s="5"/>
      <c r="BZ313" s="5"/>
      <c r="CA313" s="5"/>
      <c r="CI313" s="713">
        <v>45565</v>
      </c>
      <c r="CJ313" t="s">
        <v>1166</v>
      </c>
      <c r="CK313" t="s">
        <v>992</v>
      </c>
      <c r="CL313" s="5">
        <v>0</v>
      </c>
      <c r="CM313" s="717">
        <v>0</v>
      </c>
      <c r="CN313" s="5">
        <v>0</v>
      </c>
    </row>
    <row r="314" spans="65:92" x14ac:dyDescent="0.2">
      <c r="BM314" s="5"/>
      <c r="BQ314" s="215"/>
      <c r="BV314" s="5"/>
      <c r="BW314" s="5"/>
      <c r="BX314" s="5"/>
      <c r="BY314" s="5"/>
      <c r="BZ314" s="5"/>
      <c r="CA314" s="5"/>
      <c r="CI314" s="713">
        <v>45565</v>
      </c>
      <c r="CJ314" t="s">
        <v>1167</v>
      </c>
      <c r="CK314" t="s">
        <v>994</v>
      </c>
      <c r="CL314" s="5">
        <v>750000</v>
      </c>
      <c r="CM314" s="717">
        <v>1</v>
      </c>
      <c r="CN314" s="5">
        <v>750000</v>
      </c>
    </row>
    <row r="315" spans="65:92" x14ac:dyDescent="0.2">
      <c r="BM315" s="5"/>
      <c r="BQ315" s="215"/>
      <c r="BV315" s="5"/>
      <c r="BW315" s="5"/>
      <c r="BX315" s="5"/>
      <c r="BY315" s="5"/>
      <c r="BZ315" s="5"/>
      <c r="CA315" s="5"/>
      <c r="CI315" s="713">
        <v>45565</v>
      </c>
      <c r="CJ315" t="s">
        <v>1168</v>
      </c>
      <c r="CK315" t="s">
        <v>996</v>
      </c>
      <c r="CL315" s="5">
        <v>0</v>
      </c>
      <c r="CM315" s="717">
        <v>0</v>
      </c>
      <c r="CN315" s="5">
        <v>0</v>
      </c>
    </row>
    <row r="316" spans="65:92" x14ac:dyDescent="0.2">
      <c r="BM316" s="5"/>
      <c r="BQ316" s="215"/>
      <c r="BV316" s="5"/>
      <c r="BW316" s="5"/>
      <c r="BX316" s="5"/>
      <c r="BY316" s="5"/>
      <c r="BZ316" s="5"/>
      <c r="CA316" s="5"/>
      <c r="CI316" s="713">
        <v>45565</v>
      </c>
      <c r="CJ316" t="s">
        <v>1169</v>
      </c>
      <c r="CK316" t="s">
        <v>998</v>
      </c>
      <c r="CL316" s="5">
        <v>0</v>
      </c>
      <c r="CM316" s="717">
        <v>0</v>
      </c>
      <c r="CN316" s="5">
        <v>0</v>
      </c>
    </row>
    <row r="317" spans="65:92" x14ac:dyDescent="0.2">
      <c r="BM317" s="5"/>
      <c r="BQ317" s="215"/>
      <c r="BV317" s="5"/>
      <c r="BW317" s="5"/>
      <c r="BX317" s="5"/>
      <c r="BY317" s="5"/>
      <c r="BZ317" s="5"/>
      <c r="CA317" s="5"/>
      <c r="CI317" s="713">
        <v>45565</v>
      </c>
      <c r="CJ317" t="s">
        <v>1170</v>
      </c>
      <c r="CK317" t="s">
        <v>1000</v>
      </c>
      <c r="CL317" s="5">
        <v>0</v>
      </c>
      <c r="CM317" s="717">
        <v>0</v>
      </c>
      <c r="CN317" s="5">
        <v>0</v>
      </c>
    </row>
    <row r="318" spans="65:92" x14ac:dyDescent="0.2">
      <c r="BM318" s="5"/>
      <c r="BQ318" s="215"/>
      <c r="BV318" s="5"/>
      <c r="BW318" s="5"/>
      <c r="BX318" s="5"/>
      <c r="BY318" s="5"/>
      <c r="BZ318" s="5"/>
      <c r="CA318" s="5"/>
      <c r="CI318" s="713">
        <v>45565</v>
      </c>
      <c r="CJ318" t="s">
        <v>1171</v>
      </c>
      <c r="CK318" t="s">
        <v>1002</v>
      </c>
      <c r="CL318" s="5">
        <v>4395670</v>
      </c>
      <c r="CM318" s="717">
        <v>9</v>
      </c>
      <c r="CN318" s="5">
        <v>4395670</v>
      </c>
    </row>
    <row r="319" spans="65:92" x14ac:dyDescent="0.2">
      <c r="BM319" s="5"/>
      <c r="BQ319" s="215"/>
      <c r="BV319" s="5"/>
      <c r="BW319" s="5"/>
      <c r="BX319" s="5"/>
      <c r="BY319" s="5"/>
      <c r="BZ319" s="5"/>
      <c r="CA319" s="5"/>
      <c r="CI319" s="713">
        <v>45565</v>
      </c>
      <c r="CJ319" t="s">
        <v>1172</v>
      </c>
      <c r="CK319" t="s">
        <v>1004</v>
      </c>
      <c r="CL319" s="5">
        <v>0</v>
      </c>
      <c r="CM319" s="717">
        <v>0</v>
      </c>
      <c r="CN319" s="5">
        <v>0</v>
      </c>
    </row>
    <row r="320" spans="65:92" x14ac:dyDescent="0.2">
      <c r="BM320" s="5"/>
      <c r="BQ320" s="215"/>
      <c r="BV320" s="5"/>
      <c r="BW320" s="5"/>
      <c r="BX320" s="5"/>
      <c r="BY320" s="5"/>
      <c r="BZ320" s="5"/>
      <c r="CA320" s="5"/>
      <c r="CI320" s="713">
        <v>45565</v>
      </c>
      <c r="CJ320" t="s">
        <v>1173</v>
      </c>
      <c r="CK320" t="s">
        <v>1006</v>
      </c>
      <c r="CL320" s="5">
        <v>0</v>
      </c>
      <c r="CM320" s="717">
        <v>0</v>
      </c>
      <c r="CN320" s="5">
        <v>0</v>
      </c>
    </row>
    <row r="321" spans="65:92" x14ac:dyDescent="0.2">
      <c r="BM321" s="5"/>
      <c r="BQ321" s="215"/>
      <c r="BV321" s="5"/>
      <c r="BW321" s="5"/>
      <c r="BX321" s="5"/>
      <c r="BY321" s="5"/>
      <c r="BZ321" s="5"/>
      <c r="CA321" s="5"/>
      <c r="CI321" s="713">
        <v>45565</v>
      </c>
      <c r="CJ321" t="s">
        <v>1174</v>
      </c>
      <c r="CK321" t="s">
        <v>1008</v>
      </c>
      <c r="CL321" s="5">
        <v>1247466</v>
      </c>
      <c r="CM321" s="717">
        <v>5</v>
      </c>
      <c r="CN321" s="5">
        <v>1247466</v>
      </c>
    </row>
    <row r="322" spans="65:92" x14ac:dyDescent="0.2">
      <c r="BM322" s="5"/>
      <c r="BQ322" s="215"/>
      <c r="BV322" s="5"/>
      <c r="BW322" s="5"/>
      <c r="BX322" s="5"/>
      <c r="BY322" s="5"/>
      <c r="BZ322" s="5"/>
      <c r="CA322" s="5"/>
      <c r="CI322" s="713">
        <v>45565</v>
      </c>
      <c r="CJ322" t="s">
        <v>1175</v>
      </c>
      <c r="CK322" t="s">
        <v>1010</v>
      </c>
      <c r="CL322" s="5">
        <v>1925790</v>
      </c>
      <c r="CM322" s="717">
        <v>6</v>
      </c>
      <c r="CN322" s="5">
        <v>1925790</v>
      </c>
    </row>
    <row r="323" spans="65:92" x14ac:dyDescent="0.2">
      <c r="BM323" s="5"/>
      <c r="BQ323" s="215"/>
      <c r="BV323" s="5"/>
      <c r="BW323" s="5"/>
      <c r="BX323" s="5"/>
      <c r="BY323" s="5"/>
      <c r="BZ323" s="5"/>
      <c r="CA323" s="5"/>
      <c r="CI323" s="713">
        <v>45565</v>
      </c>
      <c r="CJ323" t="s">
        <v>1176</v>
      </c>
      <c r="CK323" t="s">
        <v>1012</v>
      </c>
      <c r="CL323" s="5">
        <v>2947299</v>
      </c>
      <c r="CM323" s="717">
        <v>11</v>
      </c>
      <c r="CN323" s="5">
        <v>2947299</v>
      </c>
    </row>
    <row r="324" spans="65:92" x14ac:dyDescent="0.2">
      <c r="BM324" s="5"/>
      <c r="BQ324" s="215"/>
      <c r="BV324" s="5"/>
      <c r="BW324" s="5"/>
      <c r="BX324" s="5"/>
      <c r="BY324" s="5"/>
      <c r="BZ324" s="5"/>
      <c r="CA324" s="5"/>
      <c r="CI324" s="713">
        <v>45565</v>
      </c>
      <c r="CJ324" t="s">
        <v>1177</v>
      </c>
      <c r="CK324" t="s">
        <v>1014</v>
      </c>
      <c r="CL324" s="5">
        <v>503000</v>
      </c>
      <c r="CM324" s="717">
        <v>3</v>
      </c>
      <c r="CN324" s="5">
        <v>503000</v>
      </c>
    </row>
    <row r="325" spans="65:92" x14ac:dyDescent="0.2">
      <c r="BM325" s="5"/>
      <c r="BQ325" s="215"/>
      <c r="BV325" s="5"/>
      <c r="BW325" s="5"/>
      <c r="BX325" s="5"/>
      <c r="BY325" s="5"/>
      <c r="BZ325" s="5"/>
      <c r="CA325" s="5"/>
      <c r="CI325" s="713">
        <v>45565</v>
      </c>
      <c r="CJ325" t="s">
        <v>1178</v>
      </c>
      <c r="CK325" t="s">
        <v>1016</v>
      </c>
      <c r="CL325" s="5">
        <v>355000</v>
      </c>
      <c r="CM325" s="717">
        <v>1</v>
      </c>
      <c r="CN325" s="5">
        <v>355000</v>
      </c>
    </row>
    <row r="326" spans="65:92" x14ac:dyDescent="0.2">
      <c r="BM326" s="5"/>
      <c r="BQ326" s="215"/>
      <c r="BV326" s="5"/>
      <c r="BW326" s="5"/>
      <c r="BX326" s="5"/>
      <c r="BY326" s="5"/>
      <c r="BZ326" s="5"/>
      <c r="CA326" s="5"/>
      <c r="CI326" s="713">
        <v>45565</v>
      </c>
      <c r="CJ326" t="s">
        <v>1179</v>
      </c>
      <c r="CK326" t="s">
        <v>1018</v>
      </c>
      <c r="CL326" s="5">
        <v>1754283</v>
      </c>
      <c r="CM326" s="717">
        <v>7</v>
      </c>
      <c r="CN326" s="5">
        <v>1754283</v>
      </c>
    </row>
    <row r="327" spans="65:92" x14ac:dyDescent="0.2">
      <c r="BM327" s="5"/>
      <c r="BQ327" s="215"/>
      <c r="BV327" s="5"/>
      <c r="BW327" s="5"/>
      <c r="BX327" s="5"/>
      <c r="BY327" s="5"/>
      <c r="BZ327" s="5"/>
      <c r="CA327" s="5"/>
      <c r="CI327" s="713">
        <v>45565</v>
      </c>
      <c r="CJ327" t="s">
        <v>1180</v>
      </c>
      <c r="CK327" t="s">
        <v>1020</v>
      </c>
      <c r="CL327" s="5">
        <v>110000</v>
      </c>
      <c r="CM327" s="717">
        <v>1</v>
      </c>
      <c r="CN327" s="5">
        <v>110000</v>
      </c>
    </row>
    <row r="328" spans="65:92" x14ac:dyDescent="0.2">
      <c r="BM328" s="5"/>
      <c r="BQ328" s="215"/>
      <c r="BV328" s="5"/>
      <c r="BW328" s="5"/>
      <c r="BX328" s="5"/>
      <c r="BY328" s="5"/>
      <c r="BZ328" s="5"/>
      <c r="CA328" s="5"/>
      <c r="CI328" s="713">
        <v>45565</v>
      </c>
      <c r="CJ328" t="s">
        <v>1181</v>
      </c>
      <c r="CK328" t="s">
        <v>1022</v>
      </c>
      <c r="CL328" s="5">
        <v>1832085</v>
      </c>
      <c r="CM328" s="717">
        <v>7</v>
      </c>
      <c r="CN328" s="5">
        <v>1832085</v>
      </c>
    </row>
    <row r="329" spans="65:92" x14ac:dyDescent="0.2">
      <c r="BM329" s="5"/>
      <c r="BQ329" s="215"/>
      <c r="BV329" s="5"/>
      <c r="BW329" s="5"/>
      <c r="BX329" s="5"/>
      <c r="BY329" s="5"/>
      <c r="BZ329" s="5"/>
      <c r="CA329" s="5"/>
      <c r="CI329" s="713">
        <v>45565</v>
      </c>
      <c r="CJ329" t="s">
        <v>1182</v>
      </c>
      <c r="CK329" t="s">
        <v>1024</v>
      </c>
      <c r="CL329" s="5">
        <v>0</v>
      </c>
      <c r="CM329" s="717">
        <v>0</v>
      </c>
      <c r="CN329" s="5">
        <v>0</v>
      </c>
    </row>
    <row r="330" spans="65:92" x14ac:dyDescent="0.2">
      <c r="BM330" s="5"/>
      <c r="BQ330" s="215"/>
      <c r="BV330" s="5"/>
      <c r="BW330" s="5"/>
      <c r="BX330" s="5"/>
      <c r="BY330" s="5"/>
      <c r="BZ330" s="5"/>
      <c r="CA330" s="5"/>
      <c r="CI330" s="713">
        <v>45565</v>
      </c>
      <c r="CJ330" t="s">
        <v>1183</v>
      </c>
      <c r="CK330" t="s">
        <v>1026</v>
      </c>
      <c r="CL330" s="5">
        <v>0</v>
      </c>
      <c r="CM330" s="717">
        <v>0</v>
      </c>
      <c r="CN330" s="5">
        <v>0</v>
      </c>
    </row>
    <row r="331" spans="65:92" x14ac:dyDescent="0.2">
      <c r="BM331" s="5"/>
      <c r="BQ331" s="215"/>
      <c r="BV331" s="5"/>
      <c r="BW331" s="5"/>
      <c r="BX331" s="5"/>
      <c r="BY331" s="5"/>
      <c r="BZ331" s="5"/>
      <c r="CA331" s="5"/>
      <c r="CI331" s="713">
        <v>45565</v>
      </c>
      <c r="CJ331" t="s">
        <v>1184</v>
      </c>
      <c r="CK331" t="s">
        <v>1028</v>
      </c>
      <c r="CL331" s="5">
        <v>0</v>
      </c>
      <c r="CM331" s="717">
        <v>0</v>
      </c>
      <c r="CN331" s="5">
        <v>0</v>
      </c>
    </row>
    <row r="332" spans="65:92" x14ac:dyDescent="0.2">
      <c r="BM332" s="5"/>
      <c r="BQ332" s="215"/>
      <c r="BV332" s="5"/>
      <c r="BW332" s="5"/>
      <c r="BX332" s="5"/>
      <c r="BY332" s="5"/>
      <c r="BZ332" s="5"/>
      <c r="CA332" s="5"/>
      <c r="CI332" s="713">
        <v>45565</v>
      </c>
      <c r="CJ332" t="s">
        <v>1185</v>
      </c>
      <c r="CK332" t="s">
        <v>1030</v>
      </c>
      <c r="CL332" s="5">
        <v>0</v>
      </c>
      <c r="CM332" s="717">
        <v>0</v>
      </c>
      <c r="CN332" s="5">
        <v>0</v>
      </c>
    </row>
    <row r="333" spans="65:92" x14ac:dyDescent="0.2">
      <c r="BM333" s="5"/>
      <c r="BQ333" s="215"/>
      <c r="BV333" s="5"/>
      <c r="BW333" s="5"/>
      <c r="BX333" s="5"/>
      <c r="BY333" s="5"/>
      <c r="BZ333" s="5"/>
      <c r="CA333" s="5"/>
      <c r="CI333" s="713">
        <v>45565</v>
      </c>
      <c r="CJ333" t="s">
        <v>1186</v>
      </c>
      <c r="CK333" t="s">
        <v>1032</v>
      </c>
      <c r="CL333" s="5">
        <v>0</v>
      </c>
      <c r="CM333" s="717">
        <v>0</v>
      </c>
      <c r="CN333" s="5">
        <v>0</v>
      </c>
    </row>
    <row r="334" spans="65:92" x14ac:dyDescent="0.2">
      <c r="BM334" s="5"/>
      <c r="BQ334" s="215"/>
      <c r="BV334" s="5"/>
      <c r="BW334" s="5"/>
      <c r="BX334" s="5"/>
      <c r="BY334" s="5"/>
      <c r="BZ334" s="5"/>
      <c r="CA334" s="5"/>
      <c r="CI334" s="713">
        <v>45565</v>
      </c>
      <c r="CJ334" t="s">
        <v>1187</v>
      </c>
      <c r="CK334" t="s">
        <v>1034</v>
      </c>
      <c r="CL334" s="5">
        <v>0</v>
      </c>
      <c r="CM334" s="717">
        <v>0</v>
      </c>
      <c r="CN334" s="5">
        <v>0</v>
      </c>
    </row>
    <row r="335" spans="65:92" x14ac:dyDescent="0.2">
      <c r="BM335" s="5"/>
      <c r="BQ335" s="215"/>
      <c r="BV335" s="5"/>
      <c r="BW335" s="5"/>
      <c r="BX335" s="5"/>
      <c r="BY335" s="5"/>
      <c r="BZ335" s="5"/>
      <c r="CA335" s="5"/>
      <c r="CI335" s="713">
        <v>45565</v>
      </c>
      <c r="CJ335" t="s">
        <v>1188</v>
      </c>
      <c r="CK335" t="s">
        <v>1036</v>
      </c>
      <c r="CL335" s="5">
        <v>0</v>
      </c>
      <c r="CM335" s="717">
        <v>0</v>
      </c>
      <c r="CN335" s="5">
        <v>0</v>
      </c>
    </row>
    <row r="336" spans="65:92" x14ac:dyDescent="0.2">
      <c r="BM336" s="5"/>
      <c r="BQ336" s="215"/>
      <c r="BV336" s="5"/>
      <c r="BW336" s="5"/>
      <c r="BX336" s="5"/>
      <c r="BY336" s="5"/>
      <c r="BZ336" s="5"/>
      <c r="CA336" s="5"/>
      <c r="CI336" s="713">
        <v>45565</v>
      </c>
      <c r="CJ336" t="s">
        <v>1189</v>
      </c>
      <c r="CK336" t="s">
        <v>1038</v>
      </c>
      <c r="CL336" s="5">
        <v>1443352</v>
      </c>
      <c r="CM336" s="717">
        <v>3</v>
      </c>
      <c r="CN336" s="5">
        <v>1443352</v>
      </c>
    </row>
    <row r="337" spans="65:92" x14ac:dyDescent="0.2">
      <c r="BM337" s="5"/>
      <c r="BQ337" s="215"/>
      <c r="BV337" s="5"/>
      <c r="BW337" s="5"/>
      <c r="BX337" s="5"/>
      <c r="BY337" s="5"/>
      <c r="BZ337" s="5"/>
      <c r="CA337" s="5"/>
      <c r="CI337" s="713">
        <v>45565</v>
      </c>
      <c r="CJ337" t="s">
        <v>1190</v>
      </c>
      <c r="CK337" t="s">
        <v>1040</v>
      </c>
      <c r="CL337" s="5">
        <v>0</v>
      </c>
      <c r="CM337" s="717">
        <v>0</v>
      </c>
      <c r="CN337" s="5">
        <v>0</v>
      </c>
    </row>
    <row r="338" spans="65:92" x14ac:dyDescent="0.2">
      <c r="BM338" s="5"/>
      <c r="BQ338" s="215"/>
      <c r="BV338" s="5"/>
      <c r="BW338" s="5"/>
      <c r="BX338" s="5"/>
      <c r="BY338" s="5"/>
      <c r="BZ338" s="5"/>
      <c r="CA338" s="5"/>
      <c r="CI338" s="713">
        <v>45565</v>
      </c>
      <c r="CJ338" t="s">
        <v>1191</v>
      </c>
      <c r="CK338" t="s">
        <v>1042</v>
      </c>
      <c r="CL338" s="5">
        <v>2655362.14</v>
      </c>
      <c r="CM338" s="717">
        <v>12</v>
      </c>
      <c r="CN338" s="5">
        <v>2655362.14</v>
      </c>
    </row>
    <row r="339" spans="65:92" x14ac:dyDescent="0.2">
      <c r="BM339" s="5"/>
      <c r="BQ339" s="215"/>
      <c r="BV339" s="5"/>
      <c r="BW339" s="5"/>
      <c r="BX339" s="5"/>
      <c r="BY339" s="5"/>
      <c r="BZ339" s="5"/>
      <c r="CA339" s="5"/>
      <c r="CI339" s="713">
        <v>45565</v>
      </c>
      <c r="CJ339" t="s">
        <v>1192</v>
      </c>
      <c r="CK339" t="s">
        <v>1044</v>
      </c>
      <c r="CL339" s="5">
        <v>257400</v>
      </c>
      <c r="CM339" s="717">
        <v>2</v>
      </c>
      <c r="CN339" s="5">
        <v>257400</v>
      </c>
    </row>
    <row r="340" spans="65:92" x14ac:dyDescent="0.2">
      <c r="BM340" s="5"/>
      <c r="BQ340" s="215"/>
      <c r="BV340" s="5"/>
      <c r="BW340" s="5"/>
      <c r="BX340" s="5"/>
      <c r="BY340" s="5"/>
      <c r="BZ340" s="5"/>
      <c r="CA340" s="5"/>
      <c r="CI340" s="713">
        <v>45565</v>
      </c>
      <c r="CJ340" t="s">
        <v>1193</v>
      </c>
      <c r="CK340" t="s">
        <v>1046</v>
      </c>
      <c r="CL340" s="5">
        <v>124000</v>
      </c>
      <c r="CM340" s="717">
        <v>1</v>
      </c>
      <c r="CN340" s="5">
        <v>124000</v>
      </c>
    </row>
    <row r="341" spans="65:92" x14ac:dyDescent="0.2">
      <c r="BM341" s="5"/>
      <c r="BQ341" s="215"/>
      <c r="BV341" s="5"/>
      <c r="BW341" s="5"/>
      <c r="BX341" s="5"/>
      <c r="BY341" s="5"/>
      <c r="BZ341" s="5"/>
      <c r="CA341" s="5"/>
      <c r="CI341" s="713">
        <v>45565</v>
      </c>
      <c r="CJ341" t="s">
        <v>1194</v>
      </c>
      <c r="CK341" t="s">
        <v>1048</v>
      </c>
      <c r="CL341" s="5">
        <v>665497</v>
      </c>
      <c r="CM341" s="717">
        <v>3</v>
      </c>
      <c r="CN341" s="5">
        <v>665497</v>
      </c>
    </row>
    <row r="342" spans="65:92" x14ac:dyDescent="0.2">
      <c r="BM342" s="5"/>
      <c r="BQ342" s="215"/>
      <c r="BV342" s="5"/>
      <c r="BW342" s="5"/>
      <c r="BX342" s="5"/>
      <c r="BY342" s="5"/>
      <c r="BZ342" s="5"/>
      <c r="CA342" s="5"/>
      <c r="CI342" s="713">
        <v>45565</v>
      </c>
      <c r="CJ342" t="s">
        <v>1195</v>
      </c>
      <c r="CK342" t="s">
        <v>1050</v>
      </c>
      <c r="CL342" s="5">
        <v>1462899</v>
      </c>
      <c r="CM342" s="717">
        <v>5</v>
      </c>
      <c r="CN342" s="5">
        <v>1462899</v>
      </c>
    </row>
    <row r="343" spans="65:92" x14ac:dyDescent="0.2">
      <c r="BM343" s="5"/>
      <c r="BQ343" s="215"/>
      <c r="BV343" s="5"/>
      <c r="BW343" s="5"/>
      <c r="BX343" s="5"/>
      <c r="BY343" s="5"/>
      <c r="BZ343" s="5"/>
      <c r="CA343" s="5"/>
      <c r="CI343" s="713">
        <v>45565</v>
      </c>
      <c r="CJ343" t="s">
        <v>1196</v>
      </c>
      <c r="CK343" t="s">
        <v>1052</v>
      </c>
      <c r="CL343" s="5">
        <v>106650</v>
      </c>
      <c r="CM343" s="717">
        <v>1</v>
      </c>
      <c r="CN343" s="5">
        <v>106650</v>
      </c>
    </row>
    <row r="344" spans="65:92" x14ac:dyDescent="0.2">
      <c r="BM344" s="5"/>
      <c r="BQ344" s="215"/>
      <c r="BV344" s="5"/>
      <c r="BW344" s="5"/>
      <c r="BX344" s="5"/>
      <c r="BY344" s="5"/>
      <c r="BZ344" s="5"/>
      <c r="CA344" s="5"/>
      <c r="CI344" s="713">
        <v>45565</v>
      </c>
      <c r="CJ344" t="s">
        <v>1197</v>
      </c>
      <c r="CK344" t="s">
        <v>1054</v>
      </c>
      <c r="CL344" s="5">
        <v>885400</v>
      </c>
      <c r="CM344" s="717">
        <v>4</v>
      </c>
      <c r="CN344" s="5">
        <v>885400</v>
      </c>
    </row>
    <row r="345" spans="65:92" x14ac:dyDescent="0.2">
      <c r="BM345" s="5"/>
      <c r="BQ345" s="215"/>
      <c r="BV345" s="5"/>
      <c r="BW345" s="5"/>
      <c r="BX345" s="5"/>
      <c r="BY345" s="5"/>
      <c r="BZ345" s="5"/>
      <c r="CA345" s="5"/>
      <c r="CI345" s="713">
        <v>45565</v>
      </c>
      <c r="CJ345" t="s">
        <v>1198</v>
      </c>
      <c r="CK345" t="s">
        <v>1056</v>
      </c>
      <c r="CL345" s="5">
        <v>2865560</v>
      </c>
      <c r="CM345" s="717">
        <v>8</v>
      </c>
      <c r="CN345" s="5">
        <v>2865560</v>
      </c>
    </row>
    <row r="346" spans="65:92" x14ac:dyDescent="0.2">
      <c r="BM346" s="5"/>
      <c r="BQ346" s="215"/>
      <c r="BV346" s="5"/>
      <c r="BW346" s="5"/>
      <c r="BX346" s="5"/>
      <c r="BY346" s="5"/>
      <c r="BZ346" s="5"/>
      <c r="CA346" s="5"/>
      <c r="CI346" s="713">
        <v>45565</v>
      </c>
      <c r="CJ346" t="s">
        <v>1199</v>
      </c>
      <c r="CK346" t="s">
        <v>1058</v>
      </c>
      <c r="CL346" s="5">
        <v>2592781</v>
      </c>
      <c r="CM346" s="717">
        <v>10</v>
      </c>
      <c r="CN346" s="5">
        <v>2592781</v>
      </c>
    </row>
    <row r="347" spans="65:92" x14ac:dyDescent="0.2">
      <c r="BM347" s="5"/>
      <c r="BQ347" s="215"/>
      <c r="BV347" s="5"/>
      <c r="BW347" s="5"/>
      <c r="BX347" s="5"/>
      <c r="BY347" s="5"/>
      <c r="BZ347" s="5"/>
      <c r="CA347" s="5"/>
      <c r="CI347" s="713">
        <v>45565</v>
      </c>
      <c r="CJ347" t="s">
        <v>1200</v>
      </c>
      <c r="CK347" t="s">
        <v>1060</v>
      </c>
      <c r="CL347" s="5">
        <v>753698.04</v>
      </c>
      <c r="CM347" s="717">
        <v>3</v>
      </c>
      <c r="CN347" s="5">
        <v>753698.04</v>
      </c>
    </row>
    <row r="348" spans="65:92" x14ac:dyDescent="0.2">
      <c r="BM348" s="5"/>
      <c r="BQ348" s="215"/>
      <c r="BV348" s="5"/>
      <c r="BW348" s="5"/>
      <c r="BX348" s="5"/>
      <c r="BY348" s="5"/>
      <c r="BZ348" s="5"/>
      <c r="CA348" s="5"/>
      <c r="CI348" s="713">
        <v>45565</v>
      </c>
      <c r="CJ348" t="s">
        <v>1201</v>
      </c>
      <c r="CK348" t="s">
        <v>1062</v>
      </c>
      <c r="CL348" s="5">
        <v>9647799</v>
      </c>
      <c r="CM348" s="717">
        <v>28</v>
      </c>
      <c r="CN348" s="5">
        <v>9647799</v>
      </c>
    </row>
    <row r="349" spans="65:92" x14ac:dyDescent="0.2">
      <c r="BM349" s="5"/>
      <c r="BQ349" s="215"/>
      <c r="BV349" s="5"/>
      <c r="BW349" s="5"/>
      <c r="BX349" s="5"/>
      <c r="BY349" s="5"/>
      <c r="BZ349" s="5"/>
      <c r="CA349" s="5"/>
      <c r="CI349" s="713">
        <v>45565</v>
      </c>
      <c r="CJ349" t="s">
        <v>1202</v>
      </c>
      <c r="CK349" t="s">
        <v>1064</v>
      </c>
      <c r="CL349" s="5">
        <v>1896250</v>
      </c>
      <c r="CM349" s="717">
        <v>5</v>
      </c>
      <c r="CN349" s="5">
        <v>1896250</v>
      </c>
    </row>
    <row r="350" spans="65:92" x14ac:dyDescent="0.2">
      <c r="BM350" s="5"/>
      <c r="BQ350" s="215"/>
      <c r="BV350" s="5"/>
      <c r="BW350" s="5"/>
      <c r="BX350" s="5"/>
      <c r="BY350" s="5"/>
      <c r="BZ350" s="5"/>
      <c r="CA350" s="5"/>
      <c r="CI350" s="713">
        <v>45565</v>
      </c>
      <c r="CJ350" t="s">
        <v>1203</v>
      </c>
      <c r="CK350" t="s">
        <v>1066</v>
      </c>
      <c r="CL350" s="5">
        <v>164766</v>
      </c>
      <c r="CM350" s="717">
        <v>1</v>
      </c>
      <c r="CN350" s="5">
        <v>164766</v>
      </c>
    </row>
    <row r="351" spans="65:92" x14ac:dyDescent="0.2">
      <c r="BM351" s="5"/>
      <c r="BQ351" s="215"/>
      <c r="BV351" s="5"/>
      <c r="BW351" s="5"/>
      <c r="BX351" s="5"/>
      <c r="BY351" s="5"/>
      <c r="BZ351" s="5"/>
      <c r="CA351" s="5"/>
      <c r="CI351" s="713">
        <v>45565</v>
      </c>
      <c r="CJ351" t="s">
        <v>1204</v>
      </c>
      <c r="CK351" t="s">
        <v>1068</v>
      </c>
      <c r="CL351" s="5">
        <v>4424500</v>
      </c>
      <c r="CM351" s="717">
        <v>8</v>
      </c>
      <c r="CN351" s="5">
        <v>4424500</v>
      </c>
    </row>
    <row r="352" spans="65:92" x14ac:dyDescent="0.2">
      <c r="BM352" s="5"/>
      <c r="BQ352" s="215"/>
      <c r="BV352" s="5"/>
      <c r="BW352" s="5"/>
      <c r="BX352" s="5"/>
      <c r="BY352" s="5"/>
      <c r="BZ352" s="5"/>
      <c r="CA352" s="5"/>
      <c r="CI352" s="713">
        <v>45565</v>
      </c>
      <c r="CJ352" t="s">
        <v>1205</v>
      </c>
      <c r="CK352" t="s">
        <v>1070</v>
      </c>
      <c r="CL352" s="5">
        <v>0</v>
      </c>
      <c r="CM352" s="717">
        <v>0</v>
      </c>
      <c r="CN352" s="5">
        <v>0</v>
      </c>
    </row>
    <row r="353" spans="65:92" x14ac:dyDescent="0.2">
      <c r="BM353" s="5"/>
      <c r="BQ353" s="215"/>
      <c r="BV353" s="5"/>
      <c r="BW353" s="5"/>
      <c r="BX353" s="5"/>
      <c r="BY353" s="5"/>
      <c r="BZ353" s="5"/>
      <c r="CA353" s="5"/>
      <c r="CI353" s="713">
        <v>45565</v>
      </c>
      <c r="CJ353" t="s">
        <v>1206</v>
      </c>
      <c r="CK353" t="s">
        <v>1072</v>
      </c>
      <c r="CL353" s="5">
        <v>0</v>
      </c>
      <c r="CM353" s="717">
        <v>0</v>
      </c>
      <c r="CN353" s="5">
        <v>0</v>
      </c>
    </row>
    <row r="354" spans="65:92" x14ac:dyDescent="0.2">
      <c r="BM354" s="5"/>
      <c r="BQ354" s="215"/>
      <c r="BV354" s="5"/>
      <c r="BW354" s="5"/>
      <c r="BX354" s="5"/>
      <c r="BY354" s="5"/>
      <c r="BZ354" s="5"/>
      <c r="CA354" s="5"/>
      <c r="CI354" s="713">
        <v>45565</v>
      </c>
      <c r="CJ354" t="s">
        <v>1207</v>
      </c>
      <c r="CK354" t="s">
        <v>1074</v>
      </c>
      <c r="CL354" s="5">
        <v>115000</v>
      </c>
      <c r="CM354" s="717">
        <v>1</v>
      </c>
      <c r="CN354" s="5">
        <v>115000</v>
      </c>
    </row>
    <row r="355" spans="65:92" x14ac:dyDescent="0.2">
      <c r="BM355" s="5"/>
      <c r="BQ355" s="215"/>
      <c r="BV355" s="5"/>
      <c r="BW355" s="5"/>
      <c r="BX355" s="5"/>
      <c r="BY355" s="5"/>
      <c r="BZ355" s="5"/>
      <c r="CA355" s="5"/>
      <c r="CI355" s="713">
        <v>45565</v>
      </c>
      <c r="CJ355" t="s">
        <v>1208</v>
      </c>
      <c r="CK355" t="s">
        <v>1076</v>
      </c>
      <c r="CL355" s="5">
        <v>180000</v>
      </c>
      <c r="CM355" s="717">
        <v>1</v>
      </c>
      <c r="CN355" s="5">
        <v>180000</v>
      </c>
    </row>
    <row r="356" spans="65:92" x14ac:dyDescent="0.2">
      <c r="BM356" s="5"/>
      <c r="BQ356" s="215"/>
      <c r="BV356" s="5"/>
      <c r="BW356" s="5"/>
      <c r="BX356" s="5"/>
      <c r="BY356" s="5"/>
      <c r="BZ356" s="5"/>
      <c r="CA356" s="5"/>
      <c r="CI356" s="713">
        <v>45565</v>
      </c>
      <c r="CJ356" t="s">
        <v>1209</v>
      </c>
      <c r="CK356" t="s">
        <v>1078</v>
      </c>
      <c r="CL356" s="5">
        <v>1161044</v>
      </c>
      <c r="CM356" s="717">
        <v>5</v>
      </c>
      <c r="CN356" s="5">
        <v>1161044</v>
      </c>
    </row>
    <row r="357" spans="65:92" x14ac:dyDescent="0.2">
      <c r="BM357" s="5"/>
      <c r="BQ357" s="215"/>
      <c r="BV357" s="5"/>
      <c r="BW357" s="5"/>
      <c r="BX357" s="5"/>
      <c r="BY357" s="5"/>
      <c r="BZ357" s="5"/>
      <c r="CA357" s="5"/>
      <c r="CI357" s="713">
        <v>45565</v>
      </c>
      <c r="CJ357" t="s">
        <v>1210</v>
      </c>
      <c r="CK357" t="s">
        <v>1080</v>
      </c>
      <c r="CL357" s="5">
        <v>165000</v>
      </c>
      <c r="CM357" s="717">
        <v>1</v>
      </c>
      <c r="CN357" s="5">
        <v>165000</v>
      </c>
    </row>
    <row r="358" spans="65:92" x14ac:dyDescent="0.2">
      <c r="BM358" s="5"/>
      <c r="BQ358" s="215"/>
      <c r="BV358" s="5"/>
      <c r="BW358" s="5"/>
      <c r="BX358" s="5"/>
      <c r="BY358" s="5"/>
      <c r="BZ358" s="5"/>
      <c r="CA358" s="5"/>
      <c r="CI358" s="713">
        <v>45565</v>
      </c>
      <c r="CJ358" t="s">
        <v>1211</v>
      </c>
      <c r="CK358" t="s">
        <v>1082</v>
      </c>
      <c r="CL358" s="5">
        <v>30000</v>
      </c>
      <c r="CM358" s="717">
        <v>1</v>
      </c>
      <c r="CN358" s="5">
        <v>30000</v>
      </c>
    </row>
    <row r="359" spans="65:92" x14ac:dyDescent="0.2">
      <c r="BM359" s="5"/>
      <c r="BQ359" s="215"/>
      <c r="BV359" s="5"/>
      <c r="BW359" s="5"/>
      <c r="BX359" s="5"/>
      <c r="BY359" s="5"/>
      <c r="BZ359" s="5"/>
      <c r="CA359" s="5"/>
      <c r="CI359" s="713">
        <v>45565</v>
      </c>
      <c r="CJ359" t="s">
        <v>1212</v>
      </c>
      <c r="CK359" t="s">
        <v>1084</v>
      </c>
      <c r="CL359" s="5">
        <v>815000</v>
      </c>
      <c r="CM359" s="717">
        <v>3</v>
      </c>
      <c r="CN359" s="5">
        <v>815000</v>
      </c>
    </row>
    <row r="360" spans="65:92" x14ac:dyDescent="0.2">
      <c r="BM360" s="5"/>
      <c r="BQ360" s="215"/>
      <c r="BV360" s="5"/>
      <c r="BW360" s="5"/>
      <c r="BX360" s="5"/>
      <c r="BY360" s="5"/>
      <c r="BZ360" s="5"/>
      <c r="CA360" s="5"/>
      <c r="CI360" s="713">
        <v>45565</v>
      </c>
      <c r="CJ360" t="s">
        <v>1213</v>
      </c>
      <c r="CK360" t="s">
        <v>1086</v>
      </c>
      <c r="CL360" s="5">
        <v>3299019</v>
      </c>
      <c r="CM360" s="717">
        <v>6</v>
      </c>
      <c r="CN360" s="5">
        <v>3299019</v>
      </c>
    </row>
    <row r="361" spans="65:92" x14ac:dyDescent="0.2">
      <c r="BM361" s="5"/>
      <c r="BQ361" s="215"/>
      <c r="BV361" s="5"/>
      <c r="BW361" s="5"/>
      <c r="BX361" s="5"/>
      <c r="BY361" s="5"/>
      <c r="BZ361" s="5"/>
      <c r="CA361" s="5"/>
      <c r="CI361" s="713">
        <v>45565</v>
      </c>
      <c r="CJ361" t="s">
        <v>1214</v>
      </c>
      <c r="CK361" t="s">
        <v>1088</v>
      </c>
      <c r="CL361" s="5">
        <v>3865937.17</v>
      </c>
      <c r="CM361" s="717">
        <v>18</v>
      </c>
      <c r="CN361" s="5">
        <v>3865937.17</v>
      </c>
    </row>
    <row r="362" spans="65:92" x14ac:dyDescent="0.2">
      <c r="BM362" s="5"/>
      <c r="BQ362" s="215"/>
      <c r="BV362" s="5"/>
      <c r="BW362" s="5"/>
      <c r="BX362" s="5"/>
      <c r="BY362" s="5"/>
      <c r="BZ362" s="5"/>
      <c r="CA362" s="5"/>
      <c r="CI362" s="713">
        <v>45565</v>
      </c>
      <c r="CJ362" t="s">
        <v>1215</v>
      </c>
      <c r="CK362" t="s">
        <v>1090</v>
      </c>
      <c r="CL362" s="5">
        <v>0</v>
      </c>
      <c r="CM362" s="717">
        <v>0</v>
      </c>
      <c r="CN362" s="5">
        <v>0</v>
      </c>
    </row>
    <row r="363" spans="65:92" x14ac:dyDescent="0.2">
      <c r="BM363" s="5"/>
      <c r="BQ363" s="215"/>
      <c r="BV363" s="5"/>
      <c r="BW363" s="5"/>
      <c r="BX363" s="5"/>
      <c r="BY363" s="5"/>
      <c r="BZ363" s="5"/>
      <c r="CA363" s="5"/>
      <c r="CI363" s="713">
        <v>45565</v>
      </c>
      <c r="CJ363" t="s">
        <v>1216</v>
      </c>
      <c r="CK363" t="s">
        <v>1092</v>
      </c>
      <c r="CL363" s="5">
        <v>529002</v>
      </c>
      <c r="CM363" s="717">
        <v>3</v>
      </c>
      <c r="CN363" s="5">
        <v>529002</v>
      </c>
    </row>
    <row r="364" spans="65:92" x14ac:dyDescent="0.2">
      <c r="BM364" s="5"/>
      <c r="BQ364" s="215"/>
      <c r="BV364" s="5"/>
      <c r="BW364" s="5"/>
      <c r="BX364" s="5"/>
      <c r="BY364" s="5"/>
      <c r="BZ364" s="5"/>
      <c r="CA364" s="5"/>
      <c r="CI364" s="713">
        <v>45565</v>
      </c>
      <c r="CJ364" t="s">
        <v>1217</v>
      </c>
      <c r="CK364" t="s">
        <v>1094</v>
      </c>
      <c r="CL364" s="5">
        <v>0</v>
      </c>
      <c r="CM364" s="717">
        <v>0</v>
      </c>
      <c r="CN364" s="5">
        <v>0</v>
      </c>
    </row>
    <row r="365" spans="65:92" x14ac:dyDescent="0.2">
      <c r="BM365" s="5"/>
      <c r="BQ365" s="215"/>
      <c r="BV365" s="5"/>
      <c r="BW365" s="5"/>
      <c r="BX365" s="5"/>
      <c r="BY365" s="5"/>
      <c r="BZ365" s="5"/>
      <c r="CA365" s="5"/>
      <c r="CI365" s="713">
        <v>45565</v>
      </c>
      <c r="CJ365" t="s">
        <v>1218</v>
      </c>
      <c r="CK365" t="s">
        <v>1096</v>
      </c>
      <c r="CL365" s="5">
        <v>0</v>
      </c>
      <c r="CM365" s="717">
        <v>0</v>
      </c>
      <c r="CN365" s="5">
        <v>0</v>
      </c>
    </row>
    <row r="366" spans="65:92" x14ac:dyDescent="0.2">
      <c r="BM366" s="5"/>
      <c r="BQ366" s="215"/>
      <c r="BV366" s="5"/>
      <c r="BW366" s="5"/>
      <c r="BX366" s="5"/>
      <c r="BY366" s="5"/>
      <c r="BZ366" s="5"/>
      <c r="CA366" s="5"/>
      <c r="CI366" s="713">
        <v>45565</v>
      </c>
      <c r="CJ366" t="s">
        <v>1219</v>
      </c>
      <c r="CK366" t="s">
        <v>1098</v>
      </c>
      <c r="CL366" s="5">
        <v>5513787</v>
      </c>
      <c r="CM366" s="717">
        <v>20</v>
      </c>
      <c r="CN366" s="5">
        <v>5513787</v>
      </c>
    </row>
    <row r="367" spans="65:92" x14ac:dyDescent="0.2">
      <c r="BM367" s="5"/>
      <c r="BQ367" s="215"/>
      <c r="BV367" s="5"/>
      <c r="BW367" s="5"/>
      <c r="BX367" s="5"/>
      <c r="BY367" s="5"/>
      <c r="BZ367" s="5"/>
      <c r="CA367" s="5"/>
      <c r="CI367" s="713">
        <v>45565</v>
      </c>
      <c r="CJ367" t="s">
        <v>1220</v>
      </c>
      <c r="CK367" t="s">
        <v>1100</v>
      </c>
      <c r="CL367" s="5">
        <v>0</v>
      </c>
      <c r="CM367" s="717">
        <v>0</v>
      </c>
      <c r="CN367" s="5">
        <v>0</v>
      </c>
    </row>
    <row r="368" spans="65:92" x14ac:dyDescent="0.2">
      <c r="BM368" s="5"/>
      <c r="BQ368" s="215"/>
      <c r="BV368" s="5"/>
      <c r="BW368" s="5"/>
      <c r="BX368" s="5"/>
      <c r="BY368" s="5"/>
      <c r="BZ368" s="5"/>
      <c r="CA368" s="5"/>
      <c r="CI368" s="713">
        <v>45565</v>
      </c>
      <c r="CJ368" t="s">
        <v>1221</v>
      </c>
      <c r="CK368" t="s">
        <v>1102</v>
      </c>
      <c r="CL368" s="5">
        <v>0</v>
      </c>
      <c r="CM368" s="717">
        <v>0</v>
      </c>
      <c r="CN368" s="5">
        <v>0</v>
      </c>
    </row>
    <row r="369" spans="65:92" x14ac:dyDescent="0.2">
      <c r="BM369" s="5"/>
      <c r="BQ369" s="215"/>
      <c r="BV369" s="5"/>
      <c r="BW369" s="5"/>
      <c r="BX369" s="5"/>
      <c r="BY369" s="5"/>
      <c r="BZ369" s="5"/>
      <c r="CA369" s="5"/>
      <c r="CI369" s="713">
        <v>45565</v>
      </c>
      <c r="CJ369" t="s">
        <v>1222</v>
      </c>
      <c r="CK369" t="s">
        <v>1104</v>
      </c>
      <c r="CL369" s="5">
        <v>331500</v>
      </c>
      <c r="CM369" s="717">
        <v>1</v>
      </c>
      <c r="CN369" s="5">
        <v>331500</v>
      </c>
    </row>
    <row r="370" spans="65:92" x14ac:dyDescent="0.2">
      <c r="BM370" s="5"/>
      <c r="BQ370" s="215"/>
      <c r="BV370" s="5"/>
      <c r="BW370" s="5"/>
      <c r="BX370" s="5"/>
      <c r="BY370" s="5"/>
      <c r="BZ370" s="5"/>
      <c r="CA370" s="5"/>
      <c r="CI370" s="713">
        <v>45565</v>
      </c>
      <c r="CJ370" t="s">
        <v>1223</v>
      </c>
      <c r="CK370" t="s">
        <v>1106</v>
      </c>
      <c r="CL370" s="5">
        <v>0</v>
      </c>
      <c r="CM370" s="717">
        <v>0</v>
      </c>
      <c r="CN370" s="5">
        <v>0</v>
      </c>
    </row>
    <row r="371" spans="65:92" x14ac:dyDescent="0.2">
      <c r="BM371" s="5"/>
      <c r="BQ371" s="215"/>
      <c r="BV371" s="5"/>
      <c r="BW371" s="5"/>
      <c r="BX371" s="5"/>
      <c r="BY371" s="5"/>
      <c r="BZ371" s="5"/>
      <c r="CA371" s="5"/>
      <c r="CI371" s="713">
        <v>45565</v>
      </c>
      <c r="CJ371" t="s">
        <v>1224</v>
      </c>
      <c r="CK371" t="s">
        <v>1108</v>
      </c>
      <c r="CL371" s="5">
        <v>640000</v>
      </c>
      <c r="CM371" s="717">
        <v>2</v>
      </c>
      <c r="CN371" s="5">
        <v>640000</v>
      </c>
    </row>
    <row r="372" spans="65:92" x14ac:dyDescent="0.2">
      <c r="BM372" s="5"/>
      <c r="BQ372" s="215"/>
      <c r="BV372" s="5"/>
      <c r="BW372" s="5"/>
      <c r="BX372" s="5"/>
      <c r="BY372" s="5"/>
      <c r="BZ372" s="5"/>
      <c r="CA372" s="5"/>
      <c r="CI372" s="713">
        <v>45565</v>
      </c>
      <c r="CJ372" t="s">
        <v>1225</v>
      </c>
      <c r="CK372" t="s">
        <v>1110</v>
      </c>
      <c r="CL372" s="5">
        <v>0</v>
      </c>
      <c r="CM372" s="717">
        <v>0</v>
      </c>
      <c r="CN372" s="5">
        <v>0</v>
      </c>
    </row>
    <row r="373" spans="65:92" x14ac:dyDescent="0.2">
      <c r="BM373" s="5"/>
      <c r="BQ373" s="215"/>
      <c r="BV373" s="5"/>
      <c r="BW373" s="5"/>
      <c r="BX373" s="5"/>
      <c r="BY373" s="5"/>
      <c r="BZ373" s="5"/>
      <c r="CA373" s="5"/>
      <c r="CI373" s="713">
        <v>45565</v>
      </c>
      <c r="CJ373" t="s">
        <v>1226</v>
      </c>
      <c r="CK373" t="s">
        <v>1112</v>
      </c>
      <c r="CL373" s="5">
        <v>0</v>
      </c>
      <c r="CM373" s="717">
        <v>0</v>
      </c>
      <c r="CN373" s="5">
        <v>0</v>
      </c>
    </row>
    <row r="374" spans="65:92" x14ac:dyDescent="0.2">
      <c r="BM374" s="5"/>
      <c r="BQ374" s="215"/>
      <c r="BV374" s="5"/>
      <c r="BW374" s="5"/>
      <c r="BX374" s="5"/>
      <c r="BY374" s="5"/>
      <c r="BZ374" s="5"/>
      <c r="CA374" s="5"/>
      <c r="CI374" s="713">
        <v>45565</v>
      </c>
      <c r="CJ374" t="s">
        <v>1227</v>
      </c>
      <c r="CK374" t="s">
        <v>1114</v>
      </c>
      <c r="CL374" s="5">
        <v>220285</v>
      </c>
      <c r="CM374" s="717">
        <v>1</v>
      </c>
      <c r="CN374" s="5">
        <v>220285</v>
      </c>
    </row>
    <row r="375" spans="65:92" x14ac:dyDescent="0.2">
      <c r="BM375" s="5"/>
      <c r="BQ375" s="215"/>
      <c r="BV375" s="5"/>
      <c r="BW375" s="5"/>
      <c r="BX375" s="5"/>
      <c r="BY375" s="5"/>
      <c r="BZ375" s="5"/>
      <c r="CA375" s="5"/>
      <c r="CI375" s="713">
        <v>45565</v>
      </c>
      <c r="CJ375" t="s">
        <v>1228</v>
      </c>
      <c r="CK375" t="s">
        <v>1116</v>
      </c>
      <c r="CL375" s="5">
        <v>871000</v>
      </c>
      <c r="CM375" s="717">
        <v>3</v>
      </c>
      <c r="CN375" s="5">
        <v>871000</v>
      </c>
    </row>
    <row r="376" spans="65:92" x14ac:dyDescent="0.2">
      <c r="BM376" s="5"/>
      <c r="BQ376" s="215"/>
      <c r="BV376" s="5"/>
      <c r="BW376" s="5"/>
      <c r="BX376" s="5"/>
      <c r="BY376" s="5"/>
      <c r="BZ376" s="5"/>
      <c r="CA376" s="5"/>
      <c r="CI376" s="713">
        <v>45565</v>
      </c>
      <c r="CJ376" t="s">
        <v>1229</v>
      </c>
      <c r="CK376" t="s">
        <v>1118</v>
      </c>
      <c r="CL376" s="5">
        <v>2614003</v>
      </c>
      <c r="CM376" s="717">
        <v>7</v>
      </c>
      <c r="CN376" s="5">
        <v>2614003</v>
      </c>
    </row>
    <row r="377" spans="65:92" x14ac:dyDescent="0.2">
      <c r="BM377" s="5"/>
      <c r="BQ377" s="215"/>
      <c r="BV377" s="5"/>
      <c r="BW377" s="5"/>
      <c r="BX377" s="5"/>
      <c r="BY377" s="5"/>
      <c r="BZ377" s="5"/>
      <c r="CA377" s="5"/>
      <c r="CI377" s="713">
        <v>45565</v>
      </c>
      <c r="CJ377" t="s">
        <v>1230</v>
      </c>
      <c r="CK377" t="s">
        <v>1120</v>
      </c>
      <c r="CL377" s="5">
        <v>0</v>
      </c>
      <c r="CM377" s="717">
        <v>0</v>
      </c>
      <c r="CN377" s="5">
        <v>0</v>
      </c>
    </row>
    <row r="378" spans="65:92" x14ac:dyDescent="0.2">
      <c r="BM378" s="5"/>
      <c r="BQ378" s="215"/>
      <c r="BV378" s="5"/>
      <c r="BW378" s="5"/>
      <c r="BX378" s="5"/>
      <c r="BY378" s="5"/>
      <c r="BZ378" s="5"/>
      <c r="CA378" s="5"/>
      <c r="CI378" s="713">
        <v>45565</v>
      </c>
      <c r="CJ378" t="s">
        <v>1231</v>
      </c>
      <c r="CK378" t="s">
        <v>1122</v>
      </c>
      <c r="CL378" s="5">
        <v>844900</v>
      </c>
      <c r="CM378" s="717">
        <v>2</v>
      </c>
      <c r="CN378" s="5">
        <v>844900</v>
      </c>
    </row>
    <row r="379" spans="65:92" x14ac:dyDescent="0.2">
      <c r="BM379" s="5"/>
      <c r="BQ379" s="215"/>
      <c r="BV379" s="5"/>
      <c r="BW379" s="5"/>
      <c r="BX379" s="5"/>
      <c r="BY379" s="5"/>
      <c r="BZ379" s="5"/>
      <c r="CA379" s="5"/>
      <c r="CI379" s="713">
        <v>45565</v>
      </c>
      <c r="CJ379" t="s">
        <v>1232</v>
      </c>
      <c r="CK379" t="s">
        <v>1124</v>
      </c>
      <c r="CL379" s="5">
        <v>2163827</v>
      </c>
      <c r="CM379" s="717">
        <v>9</v>
      </c>
      <c r="CN379" s="5">
        <v>2163827</v>
      </c>
    </row>
    <row r="380" spans="65:92" x14ac:dyDescent="0.2">
      <c r="BM380" s="5"/>
      <c r="BQ380" s="215"/>
      <c r="BV380" s="5"/>
      <c r="BW380" s="5"/>
      <c r="BX380" s="5"/>
      <c r="BY380" s="5"/>
      <c r="BZ380" s="5"/>
      <c r="CA380" s="5"/>
      <c r="CI380" s="713">
        <v>45565</v>
      </c>
      <c r="CJ380" t="s">
        <v>1233</v>
      </c>
      <c r="CK380" t="s">
        <v>1126</v>
      </c>
      <c r="CL380" s="5">
        <v>830000</v>
      </c>
      <c r="CM380" s="717">
        <v>2</v>
      </c>
      <c r="CN380" s="5">
        <v>830000</v>
      </c>
    </row>
    <row r="381" spans="65:92" x14ac:dyDescent="0.2">
      <c r="BM381" s="5"/>
      <c r="BQ381" s="215"/>
      <c r="BV381" s="5"/>
      <c r="BW381" s="5"/>
      <c r="BX381" s="5"/>
      <c r="BY381" s="5"/>
      <c r="BZ381" s="5"/>
      <c r="CA381" s="5"/>
      <c r="CI381" s="713">
        <v>45565</v>
      </c>
      <c r="CJ381" t="s">
        <v>1234</v>
      </c>
      <c r="CK381" t="s">
        <v>1128</v>
      </c>
      <c r="CL381" s="5">
        <v>10054059</v>
      </c>
      <c r="CM381" s="717">
        <v>24</v>
      </c>
      <c r="CN381" s="5">
        <v>10054059</v>
      </c>
    </row>
    <row r="382" spans="65:92" x14ac:dyDescent="0.2">
      <c r="BM382" s="5"/>
      <c r="BQ382" s="215"/>
      <c r="BV382" s="5"/>
      <c r="BW382" s="5"/>
      <c r="BX382" s="5"/>
      <c r="BY382" s="5"/>
      <c r="BZ382" s="5"/>
      <c r="CA382" s="5"/>
      <c r="CI382" s="713">
        <v>45565</v>
      </c>
      <c r="CJ382" t="s">
        <v>1235</v>
      </c>
      <c r="CK382" t="s">
        <v>1130</v>
      </c>
      <c r="CL382" s="5">
        <v>6562882</v>
      </c>
      <c r="CM382" s="717">
        <v>16</v>
      </c>
      <c r="CN382" s="5">
        <v>6562882</v>
      </c>
    </row>
    <row r="383" spans="65:92" x14ac:dyDescent="0.2">
      <c r="BM383" s="5"/>
      <c r="BQ383" s="215"/>
      <c r="BV383" s="5"/>
      <c r="BW383" s="5"/>
      <c r="BX383" s="5"/>
      <c r="BY383" s="5"/>
      <c r="BZ383" s="5"/>
      <c r="CA383" s="5"/>
      <c r="CI383" s="713">
        <v>45565</v>
      </c>
      <c r="CJ383" t="s">
        <v>1236</v>
      </c>
      <c r="CK383" t="s">
        <v>1132</v>
      </c>
      <c r="CL383" s="5">
        <v>4141440</v>
      </c>
      <c r="CM383" s="717">
        <v>11</v>
      </c>
      <c r="CN383" s="5">
        <v>4141440</v>
      </c>
    </row>
    <row r="384" spans="65:92" x14ac:dyDescent="0.2">
      <c r="BM384" s="5"/>
      <c r="BQ384" s="215"/>
      <c r="BV384" s="5"/>
      <c r="BW384" s="5"/>
      <c r="BX384" s="5"/>
      <c r="BY384" s="5"/>
      <c r="BZ384" s="5"/>
      <c r="CA384" s="5"/>
      <c r="CI384" s="713">
        <v>45565</v>
      </c>
      <c r="CJ384" t="s">
        <v>1237</v>
      </c>
      <c r="CK384" t="s">
        <v>1134</v>
      </c>
      <c r="CL384" s="5">
        <v>925000</v>
      </c>
      <c r="CM384" s="717">
        <v>2</v>
      </c>
      <c r="CN384" s="5">
        <v>925000</v>
      </c>
    </row>
    <row r="385" spans="65:92" x14ac:dyDescent="0.2">
      <c r="BM385" s="5"/>
      <c r="BQ385" s="215"/>
      <c r="BV385" s="5"/>
      <c r="BW385" s="5"/>
      <c r="BX385" s="5"/>
      <c r="BY385" s="5"/>
      <c r="BZ385" s="5"/>
      <c r="CA385" s="5"/>
      <c r="CI385" s="713">
        <v>45565</v>
      </c>
      <c r="CJ385" t="s">
        <v>1238</v>
      </c>
      <c r="CK385" t="s">
        <v>1136</v>
      </c>
      <c r="CL385" s="5">
        <v>0</v>
      </c>
      <c r="CM385" s="717">
        <v>0</v>
      </c>
      <c r="CN385" s="5">
        <v>0</v>
      </c>
    </row>
    <row r="386" spans="65:92" x14ac:dyDescent="0.2">
      <c r="BM386" s="5"/>
      <c r="BQ386" s="215"/>
      <c r="BV386" s="5"/>
      <c r="BW386" s="5"/>
      <c r="BX386" s="5"/>
      <c r="BY386" s="5"/>
      <c r="BZ386" s="5"/>
      <c r="CA386" s="5"/>
      <c r="CI386" s="713">
        <v>45565</v>
      </c>
      <c r="CJ386" t="s">
        <v>1239</v>
      </c>
      <c r="CK386" t="s">
        <v>1138</v>
      </c>
      <c r="CL386" s="5">
        <v>24155172.559999999</v>
      </c>
      <c r="CM386" s="717">
        <v>53</v>
      </c>
      <c r="CN386" s="5">
        <v>24155172.559999999</v>
      </c>
    </row>
    <row r="387" spans="65:92" x14ac:dyDescent="0.2">
      <c r="BM387" s="5"/>
      <c r="BQ387" s="215"/>
      <c r="BV387" s="5"/>
      <c r="BW387" s="5"/>
      <c r="BX387" s="5"/>
      <c r="BY387" s="5"/>
      <c r="BZ387" s="5"/>
      <c r="CA387" s="5"/>
      <c r="CI387" s="713">
        <v>45565</v>
      </c>
      <c r="CJ387" t="s">
        <v>1240</v>
      </c>
      <c r="CK387" t="s">
        <v>1140</v>
      </c>
      <c r="CL387" s="5">
        <v>5908639</v>
      </c>
      <c r="CM387" s="717">
        <v>16</v>
      </c>
      <c r="CN387" s="5">
        <v>5908639</v>
      </c>
    </row>
    <row r="388" spans="65:92" x14ac:dyDescent="0.2">
      <c r="BM388" s="5"/>
      <c r="BQ388" s="215"/>
      <c r="BV388" s="5"/>
      <c r="BW388" s="5"/>
      <c r="BX388" s="5"/>
      <c r="BY388" s="5"/>
      <c r="BZ388" s="5"/>
      <c r="CA388" s="5"/>
      <c r="CI388" s="713">
        <v>45565</v>
      </c>
      <c r="CJ388" t="s">
        <v>1241</v>
      </c>
      <c r="CK388" t="s">
        <v>1142</v>
      </c>
      <c r="CL388" s="5">
        <v>5120027.43</v>
      </c>
      <c r="CM388" s="717">
        <v>15</v>
      </c>
      <c r="CN388" s="5">
        <v>5120027.43</v>
      </c>
    </row>
    <row r="389" spans="65:92" x14ac:dyDescent="0.2">
      <c r="BM389" s="5"/>
      <c r="BQ389" s="215"/>
      <c r="BV389" s="5"/>
      <c r="BW389" s="5"/>
      <c r="BX389" s="5"/>
      <c r="BY389" s="5"/>
      <c r="BZ389" s="5"/>
      <c r="CA389" s="5"/>
      <c r="CI389" s="713">
        <v>45565</v>
      </c>
      <c r="CJ389" t="s">
        <v>1242</v>
      </c>
      <c r="CK389" t="s">
        <v>1144</v>
      </c>
      <c r="CL389" s="5">
        <v>1133000</v>
      </c>
      <c r="CM389" s="717">
        <v>4</v>
      </c>
      <c r="CN389" s="5">
        <v>1133000</v>
      </c>
    </row>
    <row r="390" spans="65:92" x14ac:dyDescent="0.2">
      <c r="BM390" s="5"/>
      <c r="BQ390" s="215"/>
      <c r="BV390" s="5"/>
      <c r="BW390" s="5"/>
      <c r="BX390" s="5"/>
      <c r="BY390" s="5"/>
      <c r="BZ390" s="5"/>
      <c r="CA390" s="5"/>
      <c r="CI390" s="713">
        <v>45565</v>
      </c>
      <c r="CJ390" t="s">
        <v>1243</v>
      </c>
      <c r="CK390" t="s">
        <v>1146</v>
      </c>
      <c r="CL390" s="5">
        <v>0</v>
      </c>
      <c r="CM390" s="717">
        <v>0</v>
      </c>
      <c r="CN390" s="5">
        <v>0</v>
      </c>
    </row>
    <row r="391" spans="65:92" x14ac:dyDescent="0.2">
      <c r="BM391" s="5"/>
      <c r="BQ391" s="215"/>
      <c r="BV391" s="5"/>
      <c r="BW391" s="5"/>
      <c r="BX391" s="5"/>
      <c r="BY391" s="5"/>
      <c r="BZ391" s="5"/>
      <c r="CA391" s="5"/>
      <c r="CI391" s="713">
        <v>45565</v>
      </c>
      <c r="CJ391" t="s">
        <v>1244</v>
      </c>
      <c r="CK391" t="s">
        <v>1148</v>
      </c>
      <c r="CL391" s="5">
        <v>0</v>
      </c>
      <c r="CM391" s="717">
        <v>0</v>
      </c>
      <c r="CN391" s="5">
        <v>0</v>
      </c>
    </row>
    <row r="392" spans="65:92" x14ac:dyDescent="0.2">
      <c r="BM392" s="5"/>
      <c r="BQ392" s="215"/>
      <c r="BV392" s="5"/>
      <c r="BW392" s="5"/>
      <c r="BX392" s="5"/>
      <c r="BY392" s="5"/>
      <c r="BZ392" s="5"/>
      <c r="CA392" s="5"/>
      <c r="CI392" s="713">
        <v>45565</v>
      </c>
      <c r="CJ392" t="s">
        <v>521</v>
      </c>
      <c r="CK392" t="s">
        <v>1149</v>
      </c>
      <c r="CL392" s="5">
        <v>0</v>
      </c>
      <c r="CM392" s="717">
        <v>0</v>
      </c>
      <c r="CN392" s="5">
        <v>0</v>
      </c>
    </row>
    <row r="393" spans="65:92" x14ac:dyDescent="0.2">
      <c r="BM393" s="5"/>
      <c r="BQ393" s="215"/>
      <c r="BV393" s="5"/>
      <c r="BW393" s="5"/>
      <c r="BX393" s="5"/>
      <c r="BY393" s="5"/>
      <c r="BZ393" s="5"/>
      <c r="CA393" s="5"/>
      <c r="CI393" s="713">
        <v>45565</v>
      </c>
      <c r="CJ393" t="s">
        <v>522</v>
      </c>
      <c r="CK393" t="s">
        <v>1150</v>
      </c>
      <c r="CL393" s="5">
        <v>0</v>
      </c>
      <c r="CM393" s="717">
        <v>0</v>
      </c>
      <c r="CN393" s="5">
        <v>0</v>
      </c>
    </row>
    <row r="394" spans="65:92" x14ac:dyDescent="0.2">
      <c r="BM394" s="5"/>
      <c r="BQ394" s="215"/>
      <c r="BV394" s="5"/>
      <c r="BW394" s="5"/>
      <c r="BX394" s="5"/>
      <c r="BY394" s="5"/>
      <c r="BZ394" s="5"/>
      <c r="CA394" s="5"/>
      <c r="CI394" s="713">
        <v>45565</v>
      </c>
      <c r="CJ394" t="s">
        <v>523</v>
      </c>
      <c r="CK394" t="s">
        <v>1151</v>
      </c>
      <c r="CL394" s="5">
        <v>0</v>
      </c>
      <c r="CM394" s="717">
        <v>0</v>
      </c>
      <c r="CN394" s="5">
        <v>0</v>
      </c>
    </row>
    <row r="395" spans="65:92" x14ac:dyDescent="0.2">
      <c r="BM395" s="5"/>
      <c r="BQ395" s="215"/>
      <c r="BV395" s="5"/>
      <c r="BW395" s="5"/>
      <c r="BX395" s="5"/>
      <c r="BY395" s="5"/>
      <c r="BZ395" s="5"/>
      <c r="CA395" s="5"/>
      <c r="CI395" s="713">
        <v>45565</v>
      </c>
      <c r="CJ395" t="s">
        <v>1245</v>
      </c>
      <c r="CK395" t="s">
        <v>1153</v>
      </c>
      <c r="CL395" s="5">
        <v>0</v>
      </c>
      <c r="CM395" s="717">
        <v>0</v>
      </c>
      <c r="CN395" s="5">
        <v>0</v>
      </c>
    </row>
    <row r="396" spans="65:92" x14ac:dyDescent="0.2">
      <c r="BM396" s="5"/>
      <c r="BQ396" s="215"/>
      <c r="BV396" s="5"/>
      <c r="BW396" s="5"/>
      <c r="BX396" s="5"/>
      <c r="BY396" s="5"/>
      <c r="BZ396" s="5"/>
      <c r="CA396" s="5"/>
      <c r="CI396" s="713">
        <v>45565</v>
      </c>
      <c r="CJ396" t="s">
        <v>1246</v>
      </c>
      <c r="CK396" t="s">
        <v>1155</v>
      </c>
      <c r="CL396" s="5">
        <v>0</v>
      </c>
      <c r="CM396" s="717">
        <v>0</v>
      </c>
      <c r="CN396" s="5">
        <v>0</v>
      </c>
    </row>
    <row r="397" spans="65:92" x14ac:dyDescent="0.2">
      <c r="BM397" s="5"/>
      <c r="BQ397" s="215"/>
      <c r="BV397" s="5"/>
      <c r="BW397" s="5"/>
      <c r="BX397" s="5"/>
      <c r="BY397" s="5"/>
      <c r="BZ397" s="5"/>
      <c r="CA397" s="5"/>
      <c r="CI397" s="713">
        <v>45565</v>
      </c>
      <c r="CJ397" t="s">
        <v>1247</v>
      </c>
      <c r="CK397" t="s">
        <v>1157</v>
      </c>
      <c r="CL397" s="5">
        <v>400000</v>
      </c>
      <c r="CM397" s="717">
        <v>1</v>
      </c>
      <c r="CN397" s="5">
        <v>400000</v>
      </c>
    </row>
    <row r="398" spans="65:92" x14ac:dyDescent="0.2">
      <c r="BM398" s="5"/>
      <c r="BQ398" s="215"/>
      <c r="BV398" s="5"/>
      <c r="BW398" s="5"/>
      <c r="BX398" s="5"/>
      <c r="BY398" s="5"/>
      <c r="BZ398" s="5"/>
      <c r="CA398" s="5"/>
      <c r="CI398" s="215"/>
      <c r="CJ398"/>
      <c r="CL398" s="5"/>
      <c r="CM398" s="717"/>
      <c r="CN398" s="5"/>
    </row>
    <row r="399" spans="65:92" x14ac:dyDescent="0.2">
      <c r="BM399" s="5"/>
      <c r="BQ399" s="215"/>
      <c r="BV399" s="5"/>
      <c r="BW399" s="5"/>
      <c r="BX399" s="5"/>
      <c r="BY399" s="5"/>
      <c r="BZ399" s="5"/>
      <c r="CA399" s="5"/>
      <c r="CI399" s="215"/>
      <c r="CJ399"/>
      <c r="CL399" s="5"/>
      <c r="CM399" s="717"/>
      <c r="CN399" s="5"/>
    </row>
    <row r="400" spans="65:92" x14ac:dyDescent="0.2">
      <c r="BM400" s="5"/>
      <c r="BQ400" s="215"/>
      <c r="BV400" s="5"/>
      <c r="BW400" s="5"/>
      <c r="BX400" s="5"/>
      <c r="BY400" s="5"/>
      <c r="BZ400" s="5"/>
      <c r="CA400" s="5"/>
      <c r="CI400" s="215"/>
      <c r="CJ400"/>
      <c r="CL400" s="5"/>
      <c r="CM400" s="717"/>
      <c r="CN400" s="5"/>
    </row>
    <row r="401" spans="65:92" x14ac:dyDescent="0.2">
      <c r="BM401" s="5"/>
      <c r="BQ401" s="215"/>
      <c r="BV401" s="5"/>
      <c r="BW401" s="5"/>
      <c r="BX401" s="5"/>
      <c r="BY401" s="5"/>
      <c r="BZ401" s="5"/>
      <c r="CA401" s="5"/>
      <c r="CI401" s="215"/>
      <c r="CJ401"/>
      <c r="CL401" s="5"/>
      <c r="CM401" s="717"/>
      <c r="CN401" s="5"/>
    </row>
    <row r="402" spans="65:92" x14ac:dyDescent="0.2">
      <c r="BM402" s="5"/>
      <c r="BQ402" s="215"/>
      <c r="BV402" s="5"/>
      <c r="BW402" s="5"/>
      <c r="BX402" s="5"/>
      <c r="BY402" s="5"/>
      <c r="BZ402" s="5"/>
      <c r="CA402" s="5"/>
      <c r="CI402" s="215"/>
      <c r="CJ402"/>
      <c r="CL402" s="5"/>
      <c r="CM402" s="717"/>
      <c r="CN402" s="5"/>
    </row>
    <row r="403" spans="65:92" x14ac:dyDescent="0.2">
      <c r="BM403" s="5"/>
      <c r="BQ403" s="215"/>
      <c r="BV403" s="5"/>
      <c r="BW403" s="5"/>
      <c r="BX403" s="5"/>
      <c r="BY403" s="5"/>
      <c r="BZ403" s="5"/>
      <c r="CA403" s="5"/>
      <c r="CI403" s="215"/>
      <c r="CJ403"/>
      <c r="CL403" s="5"/>
      <c r="CM403" s="717"/>
      <c r="CN403" s="5"/>
    </row>
    <row r="404" spans="65:92" x14ac:dyDescent="0.2">
      <c r="BM404" s="5"/>
      <c r="BQ404" s="215"/>
      <c r="BV404" s="5"/>
      <c r="BW404" s="5"/>
      <c r="BX404" s="5"/>
      <c r="BY404" s="5"/>
      <c r="BZ404" s="5"/>
      <c r="CA404" s="5"/>
      <c r="CI404" s="215"/>
      <c r="CJ404"/>
      <c r="CL404" s="5"/>
      <c r="CM404" s="717"/>
      <c r="CN404" s="5"/>
    </row>
    <row r="405" spans="65:92" x14ac:dyDescent="0.2">
      <c r="BM405" s="5"/>
      <c r="BQ405" s="215"/>
      <c r="BV405" s="5"/>
      <c r="BW405" s="5"/>
      <c r="BX405" s="5"/>
      <c r="BY405" s="5"/>
      <c r="BZ405" s="5"/>
      <c r="CA405" s="5"/>
      <c r="CI405" s="215"/>
      <c r="CJ405"/>
      <c r="CL405" s="5"/>
      <c r="CM405" s="717"/>
      <c r="CN405" s="5"/>
    </row>
    <row r="406" spans="65:92" x14ac:dyDescent="0.2">
      <c r="BM406" s="5"/>
      <c r="BQ406" s="215"/>
      <c r="BV406" s="5"/>
      <c r="BW406" s="5"/>
      <c r="BX406" s="5"/>
      <c r="BY406" s="5"/>
      <c r="BZ406" s="5"/>
      <c r="CA406" s="5"/>
      <c r="CI406" s="215"/>
      <c r="CJ406"/>
      <c r="CL406" s="5"/>
      <c r="CM406" s="717"/>
      <c r="CN406" s="5"/>
    </row>
    <row r="407" spans="65:92" x14ac:dyDescent="0.2">
      <c r="BM407" s="5"/>
      <c r="BQ407" s="215"/>
      <c r="BV407" s="5"/>
      <c r="BW407" s="5"/>
      <c r="BX407" s="5"/>
      <c r="BY407" s="5"/>
      <c r="BZ407" s="5"/>
      <c r="CA407" s="5"/>
      <c r="CI407" s="215"/>
      <c r="CJ407"/>
      <c r="CL407" s="5"/>
      <c r="CM407" s="717"/>
      <c r="CN407" s="5"/>
    </row>
    <row r="408" spans="65:92" x14ac:dyDescent="0.2">
      <c r="BM408" s="5"/>
      <c r="BQ408" s="215"/>
      <c r="BV408" s="5"/>
      <c r="BW408" s="5"/>
      <c r="BX408" s="5"/>
      <c r="BY408" s="5"/>
      <c r="BZ408" s="5"/>
      <c r="CA408" s="5"/>
      <c r="CI408" s="215"/>
      <c r="CJ408"/>
      <c r="CL408" s="5"/>
      <c r="CM408" s="717"/>
      <c r="CN408" s="5"/>
    </row>
    <row r="409" spans="65:92" x14ac:dyDescent="0.2">
      <c r="BM409" s="5"/>
      <c r="BQ409" s="215"/>
      <c r="BV409" s="5"/>
      <c r="BW409" s="5"/>
      <c r="BX409" s="5"/>
      <c r="BY409" s="5"/>
      <c r="BZ409" s="5"/>
      <c r="CA409" s="5"/>
      <c r="CI409" s="215"/>
      <c r="CJ409"/>
      <c r="CL409" s="5"/>
      <c r="CM409" s="717"/>
      <c r="CN409" s="5"/>
    </row>
    <row r="410" spans="65:92" x14ac:dyDescent="0.2">
      <c r="BM410" s="5"/>
      <c r="BQ410" s="215"/>
      <c r="BV410" s="5"/>
      <c r="BW410" s="5"/>
      <c r="BX410" s="5"/>
      <c r="BY410" s="5"/>
      <c r="BZ410" s="5"/>
      <c r="CA410" s="5"/>
      <c r="CI410" s="215"/>
      <c r="CJ410"/>
      <c r="CL410" s="5"/>
      <c r="CM410" s="717"/>
      <c r="CN410" s="5"/>
    </row>
    <row r="411" spans="65:92" x14ac:dyDescent="0.2">
      <c r="BM411" s="5"/>
      <c r="BQ411" s="215"/>
      <c r="BV411" s="5"/>
      <c r="BW411" s="5"/>
      <c r="BX411" s="5"/>
      <c r="BY411" s="5"/>
      <c r="BZ411" s="5"/>
      <c r="CA411" s="5"/>
      <c r="CI411" s="215"/>
      <c r="CJ411"/>
      <c r="CL411" s="5"/>
      <c r="CM411" s="717"/>
      <c r="CN411" s="5"/>
    </row>
    <row r="412" spans="65:92" x14ac:dyDescent="0.2">
      <c r="BM412" s="5"/>
      <c r="BQ412" s="215"/>
      <c r="BV412" s="5"/>
      <c r="BW412" s="5"/>
      <c r="BX412" s="5"/>
      <c r="BY412" s="5"/>
      <c r="BZ412" s="5"/>
      <c r="CA412" s="5"/>
      <c r="CI412" s="215"/>
      <c r="CJ412"/>
      <c r="CL412" s="5"/>
      <c r="CM412" s="717"/>
      <c r="CN412" s="5"/>
    </row>
    <row r="413" spans="65:92" x14ac:dyDescent="0.2">
      <c r="BM413" s="5"/>
      <c r="BQ413" s="215"/>
      <c r="BV413" s="5"/>
      <c r="BW413" s="5"/>
      <c r="BX413" s="5"/>
      <c r="BY413" s="5"/>
      <c r="BZ413" s="5"/>
      <c r="CA413" s="5"/>
      <c r="CI413" s="215"/>
      <c r="CJ413"/>
      <c r="CL413" s="5"/>
      <c r="CM413" s="717"/>
      <c r="CN413" s="5"/>
    </row>
    <row r="414" spans="65:92" x14ac:dyDescent="0.2">
      <c r="BM414" s="5"/>
      <c r="BQ414" s="215"/>
      <c r="BV414" s="5"/>
      <c r="BW414" s="5"/>
      <c r="BX414" s="5"/>
      <c r="BY414" s="5"/>
      <c r="BZ414" s="5"/>
      <c r="CA414" s="5"/>
      <c r="CI414" s="215"/>
      <c r="CJ414"/>
      <c r="CL414" s="5"/>
      <c r="CM414" s="717"/>
      <c r="CN414" s="5"/>
    </row>
    <row r="415" spans="65:92" x14ac:dyDescent="0.2">
      <c r="BM415" s="5"/>
      <c r="BQ415" s="215"/>
      <c r="BV415" s="5"/>
      <c r="BW415" s="5"/>
      <c r="BX415" s="5"/>
      <c r="BY415" s="5"/>
      <c r="BZ415" s="5"/>
      <c r="CA415" s="5"/>
      <c r="CI415" s="215"/>
      <c r="CJ415"/>
      <c r="CL415" s="5"/>
      <c r="CM415" s="717"/>
      <c r="CN415" s="5"/>
    </row>
    <row r="416" spans="65:92" x14ac:dyDescent="0.2">
      <c r="BM416" s="5"/>
      <c r="BQ416" s="215"/>
      <c r="BV416" s="5"/>
      <c r="BW416" s="5"/>
      <c r="BX416" s="5"/>
      <c r="BY416" s="5"/>
      <c r="BZ416" s="5"/>
      <c r="CA416" s="5"/>
      <c r="CI416" s="215"/>
      <c r="CJ416"/>
      <c r="CL416" s="5"/>
      <c r="CM416" s="717"/>
      <c r="CN416" s="5"/>
    </row>
    <row r="417" spans="65:92" x14ac:dyDescent="0.2">
      <c r="BM417" s="5"/>
      <c r="BQ417" s="215"/>
      <c r="BV417" s="5"/>
      <c r="BW417" s="5"/>
      <c r="BX417" s="5"/>
      <c r="BY417" s="5"/>
      <c r="BZ417" s="5"/>
      <c r="CA417" s="5"/>
      <c r="CI417" s="215"/>
      <c r="CJ417"/>
      <c r="CL417" s="5"/>
      <c r="CM417" s="717"/>
      <c r="CN417" s="5"/>
    </row>
    <row r="418" spans="65:92" x14ac:dyDescent="0.2">
      <c r="BM418" s="5"/>
      <c r="BQ418" s="215"/>
      <c r="BV418" s="5"/>
      <c r="BW418" s="5"/>
      <c r="BX418" s="5"/>
      <c r="BY418" s="5"/>
      <c r="BZ418" s="5"/>
      <c r="CA418" s="5"/>
      <c r="CI418" s="215"/>
      <c r="CJ418"/>
      <c r="CL418" s="5"/>
      <c r="CM418" s="717"/>
      <c r="CN418" s="5"/>
    </row>
    <row r="419" spans="65:92" x14ac:dyDescent="0.2">
      <c r="BM419" s="5"/>
      <c r="BQ419" s="215"/>
      <c r="BV419" s="5"/>
      <c r="BW419" s="5"/>
      <c r="BX419" s="5"/>
      <c r="BY419" s="5"/>
      <c r="BZ419" s="5"/>
      <c r="CA419" s="5"/>
      <c r="CI419" s="215"/>
      <c r="CJ419"/>
      <c r="CL419" s="5"/>
      <c r="CM419" s="717"/>
      <c r="CN419" s="5"/>
    </row>
    <row r="420" spans="65:92" x14ac:dyDescent="0.2">
      <c r="BM420" s="5"/>
      <c r="BQ420" s="215"/>
      <c r="BV420" s="5"/>
      <c r="BW420" s="5"/>
      <c r="BX420" s="5"/>
      <c r="BY420" s="5"/>
      <c r="BZ420" s="5"/>
      <c r="CA420" s="5"/>
      <c r="CI420" s="215"/>
      <c r="CJ420"/>
      <c r="CL420" s="5"/>
      <c r="CM420" s="717"/>
      <c r="CN420" s="5"/>
    </row>
    <row r="421" spans="65:92" x14ac:dyDescent="0.2">
      <c r="BM421" s="5"/>
      <c r="BQ421" s="215"/>
      <c r="BV421" s="5"/>
      <c r="BW421" s="5"/>
      <c r="BX421" s="5"/>
      <c r="BY421" s="5"/>
      <c r="BZ421" s="5"/>
      <c r="CA421" s="5"/>
      <c r="CI421" s="215"/>
      <c r="CJ421"/>
      <c r="CL421" s="5"/>
      <c r="CM421" s="717"/>
      <c r="CN421" s="5"/>
    </row>
    <row r="422" spans="65:92" x14ac:dyDescent="0.2">
      <c r="BM422" s="5"/>
      <c r="BQ422" s="215"/>
      <c r="BV422" s="5"/>
      <c r="BW422" s="5"/>
      <c r="BX422" s="5"/>
      <c r="BY422" s="5"/>
      <c r="BZ422" s="5"/>
      <c r="CA422" s="5"/>
      <c r="CI422" s="215"/>
      <c r="CJ422"/>
      <c r="CL422" s="5"/>
      <c r="CM422" s="717"/>
      <c r="CN422" s="5"/>
    </row>
    <row r="423" spans="65:92" x14ac:dyDescent="0.2">
      <c r="BM423" s="5"/>
      <c r="BQ423" s="215"/>
      <c r="BV423" s="5"/>
      <c r="BW423" s="5"/>
      <c r="BX423" s="5"/>
      <c r="BY423" s="5"/>
      <c r="BZ423" s="5"/>
      <c r="CA423" s="5"/>
      <c r="CI423" s="215"/>
      <c r="CJ423"/>
      <c r="CL423" s="5"/>
      <c r="CM423" s="717"/>
      <c r="CN423" s="5"/>
    </row>
    <row r="424" spans="65:92" x14ac:dyDescent="0.2">
      <c r="BM424" s="5"/>
      <c r="BQ424" s="215"/>
      <c r="BV424" s="5"/>
      <c r="BW424" s="5"/>
      <c r="BX424" s="5"/>
      <c r="BY424" s="5"/>
      <c r="BZ424" s="5"/>
      <c r="CA424" s="5"/>
      <c r="CI424" s="215"/>
      <c r="CJ424"/>
      <c r="CL424" s="5"/>
      <c r="CM424" s="717"/>
      <c r="CN424" s="5"/>
    </row>
    <row r="425" spans="65:92" x14ac:dyDescent="0.2">
      <c r="BM425" s="5"/>
      <c r="BQ425" s="215"/>
      <c r="BV425" s="5"/>
      <c r="BW425" s="5"/>
      <c r="BX425" s="5"/>
      <c r="BY425" s="5"/>
      <c r="BZ425" s="5"/>
      <c r="CA425" s="5"/>
      <c r="CI425" s="215"/>
      <c r="CJ425"/>
      <c r="CL425" s="5"/>
      <c r="CM425" s="717"/>
      <c r="CN425" s="5"/>
    </row>
    <row r="426" spans="65:92" x14ac:dyDescent="0.2">
      <c r="BM426" s="5"/>
      <c r="BQ426" s="215"/>
      <c r="BV426" s="5"/>
      <c r="BW426" s="5"/>
      <c r="BX426" s="5"/>
      <c r="BY426" s="5"/>
      <c r="BZ426" s="5"/>
      <c r="CA426" s="5"/>
      <c r="CI426" s="215"/>
      <c r="CJ426"/>
      <c r="CL426" s="5"/>
      <c r="CM426" s="717"/>
      <c r="CN426" s="5"/>
    </row>
    <row r="427" spans="65:92" x14ac:dyDescent="0.2">
      <c r="BM427" s="5"/>
      <c r="BQ427" s="215"/>
      <c r="BV427" s="5"/>
      <c r="BW427" s="5"/>
      <c r="BX427" s="5"/>
      <c r="BY427" s="5"/>
      <c r="BZ427" s="5"/>
      <c r="CA427" s="5"/>
      <c r="CI427" s="215"/>
      <c r="CJ427"/>
      <c r="CL427" s="5"/>
      <c r="CM427" s="717"/>
      <c r="CN427" s="5"/>
    </row>
    <row r="428" spans="65:92" x14ac:dyDescent="0.2">
      <c r="BM428" s="5"/>
      <c r="BQ428" s="215"/>
      <c r="BV428" s="5"/>
      <c r="BW428" s="5"/>
      <c r="BX428" s="5"/>
      <c r="BY428" s="5"/>
      <c r="BZ428" s="5"/>
      <c r="CA428" s="5"/>
      <c r="CI428" s="215"/>
      <c r="CJ428"/>
      <c r="CL428" s="5"/>
      <c r="CM428" s="717"/>
      <c r="CN428" s="5"/>
    </row>
    <row r="429" spans="65:92" x14ac:dyDescent="0.2">
      <c r="BM429" s="5"/>
      <c r="BQ429" s="215"/>
      <c r="BV429" s="5"/>
      <c r="BW429" s="5"/>
      <c r="BX429" s="5"/>
      <c r="BY429" s="5"/>
      <c r="BZ429" s="5"/>
      <c r="CA429" s="5"/>
      <c r="CI429" s="215"/>
      <c r="CJ429"/>
      <c r="CL429" s="5"/>
      <c r="CM429" s="717"/>
      <c r="CN429" s="5"/>
    </row>
    <row r="430" spans="65:92" x14ac:dyDescent="0.2">
      <c r="BM430" s="5"/>
      <c r="BQ430" s="215"/>
      <c r="BV430" s="5"/>
      <c r="BW430" s="5"/>
      <c r="BX430" s="5"/>
      <c r="BY430" s="5"/>
      <c r="BZ430" s="5"/>
      <c r="CA430" s="5"/>
      <c r="CI430" s="215"/>
      <c r="CJ430"/>
      <c r="CL430" s="5"/>
      <c r="CM430" s="717"/>
      <c r="CN430" s="5"/>
    </row>
    <row r="431" spans="65:92" x14ac:dyDescent="0.2">
      <c r="BM431" s="5"/>
      <c r="BQ431" s="215"/>
      <c r="BV431" s="5"/>
      <c r="BW431" s="5"/>
      <c r="BX431" s="5"/>
      <c r="BY431" s="5"/>
      <c r="BZ431" s="5"/>
      <c r="CA431" s="5"/>
      <c r="CI431" s="215"/>
      <c r="CJ431"/>
      <c r="CL431" s="5"/>
      <c r="CM431" s="717"/>
      <c r="CN431" s="5"/>
    </row>
    <row r="432" spans="65:92" x14ac:dyDescent="0.2">
      <c r="BM432" s="5"/>
      <c r="BQ432" s="215"/>
      <c r="BV432" s="5"/>
      <c r="BW432" s="5"/>
      <c r="BX432" s="5"/>
      <c r="BY432" s="5"/>
      <c r="BZ432" s="5"/>
      <c r="CA432" s="5"/>
      <c r="CI432" s="215"/>
      <c r="CJ432"/>
      <c r="CL432" s="5"/>
      <c r="CM432" s="717"/>
      <c r="CN432" s="5"/>
    </row>
    <row r="433" spans="65:92" x14ac:dyDescent="0.2">
      <c r="BM433" s="5"/>
      <c r="BQ433" s="215"/>
      <c r="BV433" s="5"/>
      <c r="BW433" s="5"/>
      <c r="BX433" s="5"/>
      <c r="BY433" s="5"/>
      <c r="BZ433" s="5"/>
      <c r="CA433" s="5"/>
      <c r="CI433" s="215"/>
      <c r="CJ433"/>
      <c r="CL433" s="5"/>
      <c r="CM433" s="717"/>
      <c r="CN433" s="5"/>
    </row>
    <row r="434" spans="65:92" x14ac:dyDescent="0.2">
      <c r="BM434" s="5"/>
      <c r="BQ434" s="215"/>
      <c r="BV434" s="5"/>
      <c r="BW434" s="5"/>
      <c r="BX434" s="5"/>
      <c r="BY434" s="5"/>
      <c r="BZ434" s="5"/>
      <c r="CA434" s="5"/>
      <c r="CI434" s="215"/>
      <c r="CJ434"/>
      <c r="CL434" s="5"/>
      <c r="CM434" s="717"/>
      <c r="CN434" s="5"/>
    </row>
    <row r="435" spans="65:92" x14ac:dyDescent="0.2">
      <c r="BM435" s="5"/>
      <c r="BQ435" s="215"/>
      <c r="BV435" s="5"/>
      <c r="BW435" s="5"/>
      <c r="BX435" s="5"/>
      <c r="BY435" s="5"/>
      <c r="BZ435" s="5"/>
      <c r="CA435" s="5"/>
      <c r="CI435" s="215"/>
      <c r="CJ435"/>
      <c r="CL435" s="5"/>
      <c r="CM435" s="717"/>
      <c r="CN435" s="5"/>
    </row>
    <row r="436" spans="65:92" x14ac:dyDescent="0.2">
      <c r="BM436" s="5"/>
      <c r="BQ436" s="215"/>
      <c r="BV436" s="5"/>
      <c r="BW436" s="5"/>
      <c r="BX436" s="5"/>
      <c r="BY436" s="5"/>
      <c r="BZ436" s="5"/>
      <c r="CA436" s="5"/>
      <c r="CI436" s="215"/>
      <c r="CJ436"/>
      <c r="CL436" s="5"/>
      <c r="CM436" s="717"/>
      <c r="CN436" s="5"/>
    </row>
    <row r="437" spans="65:92" x14ac:dyDescent="0.2">
      <c r="BM437" s="5"/>
      <c r="BQ437" s="215"/>
      <c r="BV437" s="5"/>
      <c r="BW437" s="5"/>
      <c r="BX437" s="5"/>
      <c r="BY437" s="5"/>
      <c r="BZ437" s="5"/>
      <c r="CA437" s="5"/>
      <c r="CI437" s="215"/>
      <c r="CJ437"/>
      <c r="CL437" s="5"/>
      <c r="CM437" s="717"/>
      <c r="CN437" s="5"/>
    </row>
    <row r="438" spans="65:92" x14ac:dyDescent="0.2">
      <c r="BM438" s="5"/>
      <c r="BQ438" s="215"/>
      <c r="BV438" s="5"/>
      <c r="BW438" s="5"/>
      <c r="BX438" s="5"/>
      <c r="BY438" s="5"/>
      <c r="BZ438" s="5"/>
      <c r="CA438" s="5"/>
      <c r="CI438" s="215"/>
      <c r="CJ438"/>
      <c r="CL438" s="5"/>
      <c r="CM438" s="717"/>
      <c r="CN438" s="5"/>
    </row>
    <row r="439" spans="65:92" x14ac:dyDescent="0.2">
      <c r="BM439" s="5"/>
      <c r="BQ439" s="215"/>
      <c r="BV439" s="5"/>
      <c r="BW439" s="5"/>
      <c r="BX439" s="5"/>
      <c r="BY439" s="5"/>
      <c r="BZ439" s="5"/>
      <c r="CA439" s="5"/>
      <c r="CI439" s="215"/>
      <c r="CJ439"/>
      <c r="CL439" s="5"/>
      <c r="CM439" s="717"/>
      <c r="CN439" s="5"/>
    </row>
    <row r="440" spans="65:92" x14ac:dyDescent="0.2">
      <c r="BM440" s="5"/>
      <c r="BQ440" s="215"/>
      <c r="BV440" s="5"/>
      <c r="BW440" s="5"/>
      <c r="BX440" s="5"/>
      <c r="BY440" s="5"/>
      <c r="BZ440" s="5"/>
      <c r="CA440" s="5"/>
      <c r="CM440" s="719"/>
      <c r="CN440" s="5"/>
    </row>
    <row r="441" spans="65:92" x14ac:dyDescent="0.2">
      <c r="BM441" s="5"/>
      <c r="BQ441" s="215"/>
      <c r="BV441" s="5"/>
      <c r="BW441" s="5"/>
      <c r="BX441" s="5"/>
      <c r="BY441" s="5"/>
      <c r="BZ441" s="5"/>
      <c r="CA441" s="5"/>
      <c r="CM441" s="719"/>
      <c r="CN441" s="5"/>
    </row>
    <row r="442" spans="65:92" x14ac:dyDescent="0.2">
      <c r="BM442" s="5"/>
      <c r="BQ442" s="215"/>
      <c r="BV442" s="5"/>
      <c r="BW442" s="5"/>
      <c r="BX442" s="5"/>
      <c r="BY442" s="5"/>
      <c r="BZ442" s="5"/>
      <c r="CA442" s="5"/>
      <c r="CM442" s="719"/>
      <c r="CN442" s="5"/>
    </row>
    <row r="443" spans="65:92" x14ac:dyDescent="0.2">
      <c r="BM443" s="5"/>
      <c r="BQ443" s="215"/>
      <c r="BV443" s="5"/>
      <c r="BW443" s="5"/>
      <c r="BX443" s="5"/>
      <c r="BY443" s="5"/>
      <c r="BZ443" s="5"/>
      <c r="CA443" s="5"/>
      <c r="CN443" s="5"/>
    </row>
    <row r="444" spans="65:92" x14ac:dyDescent="0.2">
      <c r="BM444" s="5"/>
      <c r="BQ444" s="215"/>
      <c r="BV444" s="5"/>
      <c r="BW444" s="5"/>
      <c r="BX444" s="5"/>
      <c r="BY444" s="5"/>
      <c r="BZ444" s="5"/>
      <c r="CA444" s="5"/>
      <c r="CN444" s="5"/>
    </row>
    <row r="445" spans="65:92" x14ac:dyDescent="0.2">
      <c r="BM445" s="5"/>
      <c r="BQ445" s="215"/>
      <c r="BV445" s="5"/>
      <c r="BW445" s="5"/>
      <c r="BX445" s="5"/>
      <c r="BY445" s="5"/>
      <c r="BZ445" s="5"/>
      <c r="CA445" s="5"/>
      <c r="CN445" s="5"/>
    </row>
    <row r="446" spans="65:92" x14ac:dyDescent="0.2">
      <c r="BM446" s="5"/>
      <c r="BQ446" s="215"/>
      <c r="BV446" s="5"/>
      <c r="BW446" s="5"/>
      <c r="BX446" s="5"/>
      <c r="BY446" s="5"/>
      <c r="BZ446" s="5"/>
      <c r="CA446" s="5"/>
      <c r="CN446" s="5"/>
    </row>
    <row r="447" spans="65:92" x14ac:dyDescent="0.2">
      <c r="BM447" s="5"/>
      <c r="BQ447" s="215"/>
      <c r="BV447" s="5"/>
      <c r="BW447" s="5"/>
      <c r="BX447" s="5"/>
      <c r="BY447" s="5"/>
      <c r="BZ447" s="5"/>
      <c r="CA447" s="5"/>
      <c r="CN447" s="5"/>
    </row>
    <row r="448" spans="65:92" x14ac:dyDescent="0.2">
      <c r="BM448" s="5"/>
      <c r="BQ448" s="215"/>
      <c r="BV448" s="5"/>
      <c r="BW448" s="5"/>
      <c r="BX448" s="5"/>
      <c r="BY448" s="5"/>
      <c r="BZ448" s="5"/>
      <c r="CA448" s="5"/>
      <c r="CN448" s="5"/>
    </row>
    <row r="449" spans="65:92" x14ac:dyDescent="0.2">
      <c r="BM449" s="5"/>
      <c r="BQ449" s="215"/>
      <c r="BV449" s="5"/>
      <c r="BW449" s="5"/>
      <c r="BX449" s="5"/>
      <c r="BY449" s="5"/>
      <c r="BZ449" s="5"/>
      <c r="CA449" s="5"/>
      <c r="CN449" s="5"/>
    </row>
    <row r="450" spans="65:92" x14ac:dyDescent="0.2">
      <c r="BM450" s="5"/>
      <c r="BQ450" s="215"/>
      <c r="BV450" s="5"/>
      <c r="BW450" s="5"/>
      <c r="BX450" s="5"/>
      <c r="BY450" s="5"/>
      <c r="BZ450" s="5"/>
      <c r="CA450" s="5"/>
      <c r="CN450" s="5"/>
    </row>
    <row r="451" spans="65:92" x14ac:dyDescent="0.2">
      <c r="BM451" s="5"/>
      <c r="BQ451" s="215"/>
      <c r="BV451" s="5"/>
      <c r="BW451" s="5"/>
      <c r="BX451" s="5"/>
      <c r="BY451" s="5"/>
      <c r="BZ451" s="5"/>
      <c r="CA451" s="5"/>
      <c r="CN451" s="5"/>
    </row>
    <row r="452" spans="65:92" x14ac:dyDescent="0.2">
      <c r="BM452" s="5"/>
      <c r="BQ452" s="215"/>
      <c r="BV452" s="5"/>
      <c r="BW452" s="5"/>
      <c r="BX452" s="5"/>
      <c r="BY452" s="5"/>
      <c r="BZ452" s="5"/>
      <c r="CA452" s="5"/>
      <c r="CN452" s="5"/>
    </row>
    <row r="453" spans="65:92" x14ac:dyDescent="0.2">
      <c r="BM453" s="5"/>
      <c r="BQ453" s="215"/>
      <c r="BV453" s="5"/>
      <c r="BW453" s="5"/>
      <c r="BX453" s="5"/>
      <c r="BY453" s="5"/>
      <c r="BZ453" s="5"/>
      <c r="CA453" s="5"/>
      <c r="CN453" s="5"/>
    </row>
    <row r="454" spans="65:92" x14ac:dyDescent="0.2">
      <c r="BM454" s="5"/>
      <c r="BQ454" s="215"/>
      <c r="BV454" s="5"/>
      <c r="BW454" s="5"/>
      <c r="BX454" s="5"/>
      <c r="BY454" s="5"/>
      <c r="BZ454" s="5"/>
      <c r="CA454" s="5"/>
      <c r="CN454" s="5"/>
    </row>
    <row r="455" spans="65:92" x14ac:dyDescent="0.2">
      <c r="BM455" s="5"/>
      <c r="BQ455" s="215"/>
      <c r="BV455" s="5"/>
      <c r="BW455" s="5"/>
      <c r="BX455" s="5"/>
      <c r="BY455" s="5"/>
      <c r="BZ455" s="5"/>
      <c r="CA455" s="5"/>
      <c r="CN455" s="5"/>
    </row>
    <row r="456" spans="65:92" x14ac:dyDescent="0.2">
      <c r="BM456" s="5"/>
      <c r="BQ456" s="215"/>
      <c r="BV456" s="5"/>
      <c r="BW456" s="5"/>
      <c r="BX456" s="5"/>
      <c r="BY456" s="5"/>
      <c r="BZ456" s="5"/>
      <c r="CA456" s="5"/>
      <c r="CN456" s="5"/>
    </row>
    <row r="457" spans="65:92" x14ac:dyDescent="0.2">
      <c r="BM457" s="5"/>
      <c r="BQ457" s="215"/>
      <c r="BV457" s="5"/>
      <c r="BW457" s="5"/>
      <c r="BX457" s="5"/>
      <c r="BY457" s="5"/>
      <c r="BZ457" s="5"/>
      <c r="CA457" s="5"/>
      <c r="CN457" s="5"/>
    </row>
    <row r="458" spans="65:92" x14ac:dyDescent="0.2">
      <c r="BM458" s="5"/>
      <c r="BQ458" s="215"/>
      <c r="BV458" s="5"/>
      <c r="BW458" s="5"/>
      <c r="BX458" s="5"/>
      <c r="BY458" s="5"/>
      <c r="BZ458" s="5"/>
      <c r="CA458" s="5"/>
    </row>
    <row r="459" spans="65:92" x14ac:dyDescent="0.2">
      <c r="BM459" s="5"/>
      <c r="BQ459" s="215"/>
      <c r="BV459" s="5"/>
      <c r="BW459" s="5"/>
      <c r="BX459" s="5"/>
      <c r="BY459" s="5"/>
      <c r="BZ459" s="5"/>
      <c r="CA459" s="5"/>
    </row>
    <row r="460" spans="65:92" x14ac:dyDescent="0.2">
      <c r="BM460" s="5"/>
      <c r="BQ460" s="215"/>
      <c r="BV460" s="5"/>
      <c r="BW460" s="5"/>
      <c r="BX460" s="5"/>
      <c r="BY460" s="5"/>
      <c r="BZ460" s="5"/>
      <c r="CA460" s="5"/>
    </row>
    <row r="461" spans="65:92" x14ac:dyDescent="0.2">
      <c r="BM461" s="5"/>
      <c r="BQ461" s="215"/>
      <c r="BV461" s="5"/>
      <c r="BW461" s="5"/>
      <c r="BX461" s="5"/>
      <c r="BY461" s="5"/>
      <c r="BZ461" s="5"/>
      <c r="CA461" s="5"/>
    </row>
    <row r="462" spans="65:92" x14ac:dyDescent="0.2">
      <c r="BM462" s="5"/>
      <c r="BQ462" s="215"/>
      <c r="BV462" s="5"/>
      <c r="BW462" s="5"/>
      <c r="BX462" s="5"/>
      <c r="BY462" s="5"/>
      <c r="BZ462" s="5"/>
      <c r="CA462" s="5"/>
    </row>
    <row r="463" spans="65:92" x14ac:dyDescent="0.2">
      <c r="BM463" s="5"/>
      <c r="BQ463" s="215"/>
      <c r="BV463" s="5"/>
      <c r="BW463" s="5"/>
      <c r="BX463" s="5"/>
      <c r="BY463" s="5"/>
      <c r="BZ463" s="5"/>
      <c r="CA463" s="5"/>
    </row>
    <row r="464" spans="65:92" x14ac:dyDescent="0.2">
      <c r="BM464" s="5"/>
      <c r="BQ464" s="215"/>
      <c r="BV464" s="5"/>
      <c r="BW464" s="5"/>
      <c r="BX464" s="5"/>
      <c r="BY464" s="5"/>
      <c r="BZ464" s="5"/>
      <c r="CA464" s="5"/>
    </row>
    <row r="465" spans="65:79" x14ac:dyDescent="0.2">
      <c r="BM465" s="5"/>
      <c r="BQ465" s="215"/>
      <c r="BV465" s="5"/>
      <c r="BW465" s="5"/>
      <c r="BX465" s="5"/>
      <c r="BY465" s="5"/>
      <c r="BZ465" s="5"/>
      <c r="CA465" s="5"/>
    </row>
    <row r="466" spans="65:79" x14ac:dyDescent="0.2">
      <c r="BM466" s="5"/>
      <c r="BQ466" s="215"/>
      <c r="BV466" s="5"/>
      <c r="BW466" s="5"/>
      <c r="BX466" s="5"/>
      <c r="BY466" s="5"/>
      <c r="BZ466" s="5"/>
      <c r="CA466" s="5"/>
    </row>
    <row r="467" spans="65:79" x14ac:dyDescent="0.2">
      <c r="BM467" s="5"/>
      <c r="BQ467" s="215"/>
      <c r="BV467" s="5"/>
      <c r="BW467" s="5"/>
      <c r="BX467" s="5"/>
      <c r="BY467" s="5"/>
      <c r="BZ467" s="5"/>
      <c r="CA467" s="5"/>
    </row>
    <row r="468" spans="65:79" x14ac:dyDescent="0.2">
      <c r="BM468" s="5"/>
      <c r="BQ468" s="215"/>
      <c r="BV468" s="5"/>
      <c r="BW468" s="5"/>
      <c r="BX468" s="5"/>
      <c r="BY468" s="5"/>
      <c r="BZ468" s="5"/>
      <c r="CA468" s="5"/>
    </row>
    <row r="469" spans="65:79" x14ac:dyDescent="0.2">
      <c r="BM469" s="5"/>
      <c r="BQ469" s="215"/>
      <c r="BV469" s="5"/>
      <c r="BW469" s="5"/>
      <c r="BX469" s="5"/>
      <c r="BY469" s="5"/>
      <c r="BZ469" s="5"/>
      <c r="CA469" s="5"/>
    </row>
    <row r="470" spans="65:79" x14ac:dyDescent="0.2">
      <c r="BM470" s="5"/>
      <c r="BQ470" s="215"/>
      <c r="BV470" s="5"/>
      <c r="BW470" s="5"/>
      <c r="BX470" s="5"/>
      <c r="BY470" s="5"/>
      <c r="BZ470" s="5"/>
      <c r="CA470" s="5"/>
    </row>
    <row r="471" spans="65:79" x14ac:dyDescent="0.2">
      <c r="BM471" s="5"/>
      <c r="BQ471" s="215"/>
      <c r="BV471" s="5"/>
      <c r="BW471" s="5"/>
      <c r="BX471" s="5"/>
      <c r="BY471" s="5"/>
      <c r="BZ471" s="5"/>
      <c r="CA471" s="5"/>
    </row>
    <row r="472" spans="65:79" x14ac:dyDescent="0.2">
      <c r="BM472" s="5"/>
      <c r="BQ472" s="215"/>
      <c r="BV472" s="5"/>
      <c r="BW472" s="5"/>
      <c r="BX472" s="5"/>
      <c r="BY472" s="5"/>
      <c r="BZ472" s="5"/>
      <c r="CA472" s="5"/>
    </row>
    <row r="473" spans="65:79" x14ac:dyDescent="0.2">
      <c r="BM473" s="5"/>
      <c r="BQ473" s="215"/>
      <c r="BV473" s="5"/>
      <c r="BW473" s="5"/>
      <c r="BX473" s="5"/>
      <c r="BY473" s="5"/>
      <c r="BZ473" s="5"/>
      <c r="CA473" s="5"/>
    </row>
    <row r="474" spans="65:79" x14ac:dyDescent="0.2">
      <c r="BM474" s="5"/>
      <c r="BQ474" s="215"/>
      <c r="BV474" s="5"/>
      <c r="BW474" s="5"/>
      <c r="BX474" s="5"/>
      <c r="BY474" s="5"/>
      <c r="BZ474" s="5"/>
      <c r="CA474" s="5"/>
    </row>
    <row r="475" spans="65:79" x14ac:dyDescent="0.2">
      <c r="BM475" s="5"/>
      <c r="BQ475" s="215"/>
      <c r="BV475" s="5"/>
      <c r="BW475" s="5"/>
      <c r="BX475" s="5"/>
      <c r="BY475" s="5"/>
      <c r="BZ475" s="5"/>
      <c r="CA475" s="5"/>
    </row>
    <row r="476" spans="65:79" x14ac:dyDescent="0.2">
      <c r="BM476" s="5"/>
      <c r="BQ476" s="215"/>
      <c r="BV476" s="5"/>
      <c r="BW476" s="5"/>
      <c r="BX476" s="5"/>
      <c r="BY476" s="5"/>
      <c r="BZ476" s="5"/>
      <c r="CA476" s="5"/>
    </row>
    <row r="477" spans="65:79" x14ac:dyDescent="0.2">
      <c r="BM477" s="5"/>
      <c r="BQ477" s="215"/>
      <c r="BV477" s="5"/>
      <c r="BW477" s="5"/>
      <c r="BX477" s="5"/>
      <c r="BY477" s="5"/>
      <c r="BZ477" s="5"/>
      <c r="CA477" s="5"/>
    </row>
    <row r="478" spans="65:79" x14ac:dyDescent="0.2">
      <c r="BM478" s="5"/>
      <c r="BQ478" s="215"/>
      <c r="BV478" s="5"/>
      <c r="BW478" s="5"/>
      <c r="BX478" s="5"/>
      <c r="BY478" s="5"/>
      <c r="BZ478" s="5"/>
      <c r="CA478" s="5"/>
    </row>
    <row r="479" spans="65:79" x14ac:dyDescent="0.2">
      <c r="BM479" s="5"/>
      <c r="BQ479" s="215"/>
      <c r="BV479" s="5"/>
      <c r="BW479" s="5"/>
      <c r="BX479" s="5"/>
      <c r="BY479" s="5"/>
      <c r="BZ479" s="5"/>
      <c r="CA479" s="5"/>
    </row>
    <row r="480" spans="65:79" x14ac:dyDescent="0.2">
      <c r="BM480" s="5"/>
      <c r="BQ480" s="215"/>
      <c r="BV480" s="5"/>
      <c r="BW480" s="5"/>
      <c r="BX480" s="5"/>
      <c r="BY480" s="5"/>
      <c r="BZ480" s="5"/>
      <c r="CA480" s="5"/>
    </row>
    <row r="481" spans="65:79" x14ac:dyDescent="0.2">
      <c r="BM481" s="5"/>
      <c r="BQ481" s="215"/>
      <c r="BV481" s="5"/>
      <c r="BW481" s="5"/>
      <c r="BX481" s="5"/>
      <c r="BY481" s="5"/>
      <c r="BZ481" s="5"/>
      <c r="CA481" s="5"/>
    </row>
    <row r="482" spans="65:79" x14ac:dyDescent="0.2">
      <c r="BM482" s="5"/>
      <c r="BQ482" s="215"/>
      <c r="BV482" s="5"/>
      <c r="BW482" s="5"/>
      <c r="BX482" s="5"/>
      <c r="BY482" s="5"/>
      <c r="BZ482" s="5"/>
      <c r="CA482" s="5"/>
    </row>
    <row r="483" spans="65:79" x14ac:dyDescent="0.2">
      <c r="BM483" s="5"/>
      <c r="BQ483" s="215"/>
      <c r="BV483" s="5"/>
      <c r="BW483" s="5"/>
      <c r="BX483" s="5"/>
      <c r="BY483" s="5"/>
      <c r="BZ483" s="5"/>
      <c r="CA483" s="5"/>
    </row>
    <row r="484" spans="65:79" x14ac:dyDescent="0.2">
      <c r="BM484" s="5"/>
      <c r="BQ484" s="215"/>
      <c r="BV484" s="5"/>
      <c r="BW484" s="5"/>
      <c r="BX484" s="5"/>
      <c r="BY484" s="5"/>
      <c r="BZ484" s="5"/>
      <c r="CA484" s="5"/>
    </row>
    <row r="485" spans="65:79" x14ac:dyDescent="0.2">
      <c r="BM485" s="5"/>
      <c r="BQ485" s="215"/>
      <c r="BV485" s="5"/>
      <c r="BW485" s="5"/>
      <c r="BX485" s="5"/>
      <c r="BY485" s="5"/>
      <c r="BZ485" s="5"/>
      <c r="CA485" s="5"/>
    </row>
  </sheetData>
  <mergeCells count="75">
    <mergeCell ref="CN2:CN3"/>
    <mergeCell ref="BZ2:BZ3"/>
    <mergeCell ref="CB2:CB3"/>
    <mergeCell ref="CI2:CI3"/>
    <mergeCell ref="CJ2:CJ3"/>
    <mergeCell ref="CK2:CK3"/>
    <mergeCell ref="CL2:CL3"/>
    <mergeCell ref="CD2:CD3"/>
    <mergeCell ref="CE2:CE3"/>
    <mergeCell ref="CF2:CF3"/>
    <mergeCell ref="CG2:CG3"/>
    <mergeCell ref="CH2:CH3"/>
    <mergeCell ref="BW2:BW3"/>
    <mergeCell ref="CM2:CM3"/>
    <mergeCell ref="BY2:BY3"/>
    <mergeCell ref="CA2:CA3"/>
    <mergeCell ref="CC2:CC3"/>
    <mergeCell ref="AO2:AQ2"/>
    <mergeCell ref="BJ2:BJ3"/>
    <mergeCell ref="AU2:AU3"/>
    <mergeCell ref="AV2:AV3"/>
    <mergeCell ref="AW2:AW3"/>
    <mergeCell ref="AX2:AX3"/>
    <mergeCell ref="AY2:AY3"/>
    <mergeCell ref="AZ2:AZ3"/>
    <mergeCell ref="BA2:BA3"/>
    <mergeCell ref="BF2:BF3"/>
    <mergeCell ref="BG2:BG3"/>
    <mergeCell ref="BH2:BH3"/>
    <mergeCell ref="BI2:BI3"/>
    <mergeCell ref="BD2:BD3"/>
    <mergeCell ref="BB2:BB3"/>
    <mergeCell ref="BC2:BC3"/>
    <mergeCell ref="Z2:AB2"/>
    <mergeCell ref="AC2:AE2"/>
    <mergeCell ref="AF2:AH2"/>
    <mergeCell ref="AI2:AK2"/>
    <mergeCell ref="AL2:AN2"/>
    <mergeCell ref="O2:O3"/>
    <mergeCell ref="P2:P3"/>
    <mergeCell ref="Q2:S2"/>
    <mergeCell ref="T2:V2"/>
    <mergeCell ref="W2:Y2"/>
    <mergeCell ref="CI1:CN1"/>
    <mergeCell ref="A2:A3"/>
    <mergeCell ref="C2:C3"/>
    <mergeCell ref="D2:D3"/>
    <mergeCell ref="E2:E3"/>
    <mergeCell ref="F2:F3"/>
    <mergeCell ref="B2:B3"/>
    <mergeCell ref="N2:N3"/>
    <mergeCell ref="A1:P1"/>
    <mergeCell ref="Q1:AT1"/>
    <mergeCell ref="G2:G3"/>
    <mergeCell ref="H2:J2"/>
    <mergeCell ref="K2:K3"/>
    <mergeCell ref="L2:L3"/>
    <mergeCell ref="M2:M3"/>
    <mergeCell ref="AR2:AT2"/>
    <mergeCell ref="AU1:BL1"/>
    <mergeCell ref="BM1:BP1"/>
    <mergeCell ref="BE2:BE3"/>
    <mergeCell ref="BX2:BX3"/>
    <mergeCell ref="BK2:BK3"/>
    <mergeCell ref="BL2:BL3"/>
    <mergeCell ref="BM2:BM3"/>
    <mergeCell ref="BN2:BN3"/>
    <mergeCell ref="BO2:BO3"/>
    <mergeCell ref="BP2:BP3"/>
    <mergeCell ref="BQ2:BQ3"/>
    <mergeCell ref="BR2:BR3"/>
    <mergeCell ref="BT2:BT3"/>
    <mergeCell ref="BV2:BV3"/>
    <mergeCell ref="BS2:BS3"/>
    <mergeCell ref="BU2:BU3"/>
  </mergeCells>
  <phoneticPr fontId="162" type="noConversion"/>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249977111117893"/>
  </sheetPr>
  <dimension ref="C3:N82"/>
  <sheetViews>
    <sheetView showGridLines="0" zoomScale="80" zoomScaleNormal="80" workbookViewId="0">
      <selection activeCell="L36" sqref="L36"/>
    </sheetView>
  </sheetViews>
  <sheetFormatPr defaultColWidth="11.42578125" defaultRowHeight="12.75" x14ac:dyDescent="0.2"/>
  <cols>
    <col min="1" max="1" width="3.5703125" style="26" customWidth="1"/>
    <col min="2" max="2" width="2.42578125" style="26" customWidth="1"/>
    <col min="3" max="3" width="99.85546875" style="26" bestFit="1" customWidth="1"/>
    <col min="4" max="4" width="30.42578125" style="26" customWidth="1"/>
    <col min="5" max="5" width="1.42578125" style="26" customWidth="1"/>
    <col min="6" max="6" width="29.42578125" style="26" customWidth="1"/>
    <col min="7" max="7" width="1.140625" style="26" customWidth="1"/>
    <col min="8" max="8" width="4.5703125" style="26" customWidth="1"/>
    <col min="9" max="9" width="12.42578125" style="26" bestFit="1" customWidth="1"/>
    <col min="10" max="10" width="13.42578125" style="26" customWidth="1"/>
    <col min="11" max="11" width="7.42578125" style="26" bestFit="1" customWidth="1"/>
    <col min="12" max="12" width="19.85546875" style="26" bestFit="1" customWidth="1"/>
    <col min="13" max="247" width="11.42578125" style="26"/>
    <col min="248" max="248" width="2.42578125" style="26" customWidth="1"/>
    <col min="249" max="249" width="49" style="26" customWidth="1"/>
    <col min="250" max="250" width="16.85546875" style="26" customWidth="1"/>
    <col min="251" max="251" width="1.140625" style="26" customWidth="1"/>
    <col min="252" max="252" width="20.5703125" style="26" customWidth="1"/>
    <col min="253" max="253" width="17.5703125" style="26" customWidth="1"/>
    <col min="254" max="254" width="18.140625" style="26" customWidth="1"/>
    <col min="255" max="255" width="17.140625" style="26" customWidth="1"/>
    <col min="256" max="256" width="22.42578125" style="26" bestFit="1" customWidth="1"/>
    <col min="257" max="257" width="22.140625" style="26" customWidth="1"/>
    <col min="258" max="258" width="17.85546875" style="26" customWidth="1"/>
    <col min="259" max="259" width="22.42578125" style="26" customWidth="1"/>
    <col min="260" max="260" width="10.140625" style="26" bestFit="1" customWidth="1"/>
    <col min="261" max="261" width="13.42578125" style="26" customWidth="1"/>
    <col min="262" max="262" width="7.42578125" style="26" bestFit="1" customWidth="1"/>
    <col min="263" max="263" width="15.42578125" style="26" bestFit="1" customWidth="1"/>
    <col min="264" max="264" width="7.42578125" style="26" bestFit="1" customWidth="1"/>
    <col min="265" max="265" width="19.5703125" style="26" bestFit="1" customWidth="1"/>
    <col min="266" max="266" width="7.42578125" style="26" bestFit="1" customWidth="1"/>
    <col min="267" max="267" width="26.85546875" style="26" bestFit="1" customWidth="1"/>
    <col min="268" max="268" width="19.85546875" style="26" bestFit="1" customWidth="1"/>
    <col min="269" max="503" width="11.42578125" style="26"/>
    <col min="504" max="504" width="2.42578125" style="26" customWidth="1"/>
    <col min="505" max="505" width="49" style="26" customWidth="1"/>
    <col min="506" max="506" width="16.85546875" style="26" customWidth="1"/>
    <col min="507" max="507" width="1.140625" style="26" customWidth="1"/>
    <col min="508" max="508" width="20.5703125" style="26" customWidth="1"/>
    <col min="509" max="509" width="17.5703125" style="26" customWidth="1"/>
    <col min="510" max="510" width="18.140625" style="26" customWidth="1"/>
    <col min="511" max="511" width="17.140625" style="26" customWidth="1"/>
    <col min="512" max="512" width="22.42578125" style="26" bestFit="1" customWidth="1"/>
    <col min="513" max="513" width="22.140625" style="26" customWidth="1"/>
    <col min="514" max="514" width="17.85546875" style="26" customWidth="1"/>
    <col min="515" max="515" width="22.42578125" style="26" customWidth="1"/>
    <col min="516" max="516" width="10.140625" style="26" bestFit="1" customWidth="1"/>
    <col min="517" max="517" width="13.42578125" style="26" customWidth="1"/>
    <col min="518" max="518" width="7.42578125" style="26" bestFit="1" customWidth="1"/>
    <col min="519" max="519" width="15.42578125" style="26" bestFit="1" customWidth="1"/>
    <col min="520" max="520" width="7.42578125" style="26" bestFit="1" customWidth="1"/>
    <col min="521" max="521" width="19.5703125" style="26" bestFit="1" customWidth="1"/>
    <col min="522" max="522" width="7.42578125" style="26" bestFit="1" customWidth="1"/>
    <col min="523" max="523" width="26.85546875" style="26" bestFit="1" customWidth="1"/>
    <col min="524" max="524" width="19.85546875" style="26" bestFit="1" customWidth="1"/>
    <col min="525" max="759" width="11.42578125" style="26"/>
    <col min="760" max="760" width="2.42578125" style="26" customWidth="1"/>
    <col min="761" max="761" width="49" style="26" customWidth="1"/>
    <col min="762" max="762" width="16.85546875" style="26" customWidth="1"/>
    <col min="763" max="763" width="1.140625" style="26" customWidth="1"/>
    <col min="764" max="764" width="20.5703125" style="26" customWidth="1"/>
    <col min="765" max="765" width="17.5703125" style="26" customWidth="1"/>
    <col min="766" max="766" width="18.140625" style="26" customWidth="1"/>
    <col min="767" max="767" width="17.140625" style="26" customWidth="1"/>
    <col min="768" max="768" width="22.42578125" style="26" bestFit="1" customWidth="1"/>
    <col min="769" max="769" width="22.140625" style="26" customWidth="1"/>
    <col min="770" max="770" width="17.85546875" style="26" customWidth="1"/>
    <col min="771" max="771" width="22.42578125" style="26" customWidth="1"/>
    <col min="772" max="772" width="10.140625" style="26" bestFit="1" customWidth="1"/>
    <col min="773" max="773" width="13.42578125" style="26" customWidth="1"/>
    <col min="774" max="774" width="7.42578125" style="26" bestFit="1" customWidth="1"/>
    <col min="775" max="775" width="15.42578125" style="26" bestFit="1" customWidth="1"/>
    <col min="776" max="776" width="7.42578125" style="26" bestFit="1" customWidth="1"/>
    <col min="777" max="777" width="19.5703125" style="26" bestFit="1" customWidth="1"/>
    <col min="778" max="778" width="7.42578125" style="26" bestFit="1" customWidth="1"/>
    <col min="779" max="779" width="26.85546875" style="26" bestFit="1" customWidth="1"/>
    <col min="780" max="780" width="19.85546875" style="26" bestFit="1" customWidth="1"/>
    <col min="781" max="1015" width="11.42578125" style="26"/>
    <col min="1016" max="1016" width="2.42578125" style="26" customWidth="1"/>
    <col min="1017" max="1017" width="49" style="26" customWidth="1"/>
    <col min="1018" max="1018" width="16.85546875" style="26" customWidth="1"/>
    <col min="1019" max="1019" width="1.140625" style="26" customWidth="1"/>
    <col min="1020" max="1020" width="20.5703125" style="26" customWidth="1"/>
    <col min="1021" max="1021" width="17.5703125" style="26" customWidth="1"/>
    <col min="1022" max="1022" width="18.140625" style="26" customWidth="1"/>
    <col min="1023" max="1023" width="17.140625" style="26" customWidth="1"/>
    <col min="1024" max="1024" width="22.42578125" style="26" bestFit="1" customWidth="1"/>
    <col min="1025" max="1025" width="22.140625" style="26" customWidth="1"/>
    <col min="1026" max="1026" width="17.85546875" style="26" customWidth="1"/>
    <col min="1027" max="1027" width="22.42578125" style="26" customWidth="1"/>
    <col min="1028" max="1028" width="10.140625" style="26" bestFit="1" customWidth="1"/>
    <col min="1029" max="1029" width="13.42578125" style="26" customWidth="1"/>
    <col min="1030" max="1030" width="7.42578125" style="26" bestFit="1" customWidth="1"/>
    <col min="1031" max="1031" width="15.42578125" style="26" bestFit="1" customWidth="1"/>
    <col min="1032" max="1032" width="7.42578125" style="26" bestFit="1" customWidth="1"/>
    <col min="1033" max="1033" width="19.5703125" style="26" bestFit="1" customWidth="1"/>
    <col min="1034" max="1034" width="7.42578125" style="26" bestFit="1" customWidth="1"/>
    <col min="1035" max="1035" width="26.85546875" style="26" bestFit="1" customWidth="1"/>
    <col min="1036" max="1036" width="19.85546875" style="26" bestFit="1" customWidth="1"/>
    <col min="1037" max="1271" width="11.42578125" style="26"/>
    <col min="1272" max="1272" width="2.42578125" style="26" customWidth="1"/>
    <col min="1273" max="1273" width="49" style="26" customWidth="1"/>
    <col min="1274" max="1274" width="16.85546875" style="26" customWidth="1"/>
    <col min="1275" max="1275" width="1.140625" style="26" customWidth="1"/>
    <col min="1276" max="1276" width="20.5703125" style="26" customWidth="1"/>
    <col min="1277" max="1277" width="17.5703125" style="26" customWidth="1"/>
    <col min="1278" max="1278" width="18.140625" style="26" customWidth="1"/>
    <col min="1279" max="1279" width="17.140625" style="26" customWidth="1"/>
    <col min="1280" max="1280" width="22.42578125" style="26" bestFit="1" customWidth="1"/>
    <col min="1281" max="1281" width="22.140625" style="26" customWidth="1"/>
    <col min="1282" max="1282" width="17.85546875" style="26" customWidth="1"/>
    <col min="1283" max="1283" width="22.42578125" style="26" customWidth="1"/>
    <col min="1284" max="1284" width="10.140625" style="26" bestFit="1" customWidth="1"/>
    <col min="1285" max="1285" width="13.42578125" style="26" customWidth="1"/>
    <col min="1286" max="1286" width="7.42578125" style="26" bestFit="1" customWidth="1"/>
    <col min="1287" max="1287" width="15.42578125" style="26" bestFit="1" customWidth="1"/>
    <col min="1288" max="1288" width="7.42578125" style="26" bestFit="1" customWidth="1"/>
    <col min="1289" max="1289" width="19.5703125" style="26" bestFit="1" customWidth="1"/>
    <col min="1290" max="1290" width="7.42578125" style="26" bestFit="1" customWidth="1"/>
    <col min="1291" max="1291" width="26.85546875" style="26" bestFit="1" customWidth="1"/>
    <col min="1292" max="1292" width="19.85546875" style="26" bestFit="1" customWidth="1"/>
    <col min="1293" max="1527" width="11.42578125" style="26"/>
    <col min="1528" max="1528" width="2.42578125" style="26" customWidth="1"/>
    <col min="1529" max="1529" width="49" style="26" customWidth="1"/>
    <col min="1530" max="1530" width="16.85546875" style="26" customWidth="1"/>
    <col min="1531" max="1531" width="1.140625" style="26" customWidth="1"/>
    <col min="1532" max="1532" width="20.5703125" style="26" customWidth="1"/>
    <col min="1533" max="1533" width="17.5703125" style="26" customWidth="1"/>
    <col min="1534" max="1534" width="18.140625" style="26" customWidth="1"/>
    <col min="1535" max="1535" width="17.140625" style="26" customWidth="1"/>
    <col min="1536" max="1536" width="22.42578125" style="26" bestFit="1" customWidth="1"/>
    <col min="1537" max="1537" width="22.140625" style="26" customWidth="1"/>
    <col min="1538" max="1538" width="17.85546875" style="26" customWidth="1"/>
    <col min="1539" max="1539" width="22.42578125" style="26" customWidth="1"/>
    <col min="1540" max="1540" width="10.140625" style="26" bestFit="1" customWidth="1"/>
    <col min="1541" max="1541" width="13.42578125" style="26" customWidth="1"/>
    <col min="1542" max="1542" width="7.42578125" style="26" bestFit="1" customWidth="1"/>
    <col min="1543" max="1543" width="15.42578125" style="26" bestFit="1" customWidth="1"/>
    <col min="1544" max="1544" width="7.42578125" style="26" bestFit="1" customWidth="1"/>
    <col min="1545" max="1545" width="19.5703125" style="26" bestFit="1" customWidth="1"/>
    <col min="1546" max="1546" width="7.42578125" style="26" bestFit="1" customWidth="1"/>
    <col min="1547" max="1547" width="26.85546875" style="26" bestFit="1" customWidth="1"/>
    <col min="1548" max="1548" width="19.85546875" style="26" bestFit="1" customWidth="1"/>
    <col min="1549" max="1783" width="11.42578125" style="26"/>
    <col min="1784" max="1784" width="2.42578125" style="26" customWidth="1"/>
    <col min="1785" max="1785" width="49" style="26" customWidth="1"/>
    <col min="1786" max="1786" width="16.85546875" style="26" customWidth="1"/>
    <col min="1787" max="1787" width="1.140625" style="26" customWidth="1"/>
    <col min="1788" max="1788" width="20.5703125" style="26" customWidth="1"/>
    <col min="1789" max="1789" width="17.5703125" style="26" customWidth="1"/>
    <col min="1790" max="1790" width="18.140625" style="26" customWidth="1"/>
    <col min="1791" max="1791" width="17.140625" style="26" customWidth="1"/>
    <col min="1792" max="1792" width="22.42578125" style="26" bestFit="1" customWidth="1"/>
    <col min="1793" max="1793" width="22.140625" style="26" customWidth="1"/>
    <col min="1794" max="1794" width="17.85546875" style="26" customWidth="1"/>
    <col min="1795" max="1795" width="22.42578125" style="26" customWidth="1"/>
    <col min="1796" max="1796" width="10.140625" style="26" bestFit="1" customWidth="1"/>
    <col min="1797" max="1797" width="13.42578125" style="26" customWidth="1"/>
    <col min="1798" max="1798" width="7.42578125" style="26" bestFit="1" customWidth="1"/>
    <col min="1799" max="1799" width="15.42578125" style="26" bestFit="1" customWidth="1"/>
    <col min="1800" max="1800" width="7.42578125" style="26" bestFit="1" customWidth="1"/>
    <col min="1801" max="1801" width="19.5703125" style="26" bestFit="1" customWidth="1"/>
    <col min="1802" max="1802" width="7.42578125" style="26" bestFit="1" customWidth="1"/>
    <col min="1803" max="1803" width="26.85546875" style="26" bestFit="1" customWidth="1"/>
    <col min="1804" max="1804" width="19.85546875" style="26" bestFit="1" customWidth="1"/>
    <col min="1805" max="2039" width="11.42578125" style="26"/>
    <col min="2040" max="2040" width="2.42578125" style="26" customWidth="1"/>
    <col min="2041" max="2041" width="49" style="26" customWidth="1"/>
    <col min="2042" max="2042" width="16.85546875" style="26" customWidth="1"/>
    <col min="2043" max="2043" width="1.140625" style="26" customWidth="1"/>
    <col min="2044" max="2044" width="20.5703125" style="26" customWidth="1"/>
    <col min="2045" max="2045" width="17.5703125" style="26" customWidth="1"/>
    <col min="2046" max="2046" width="18.140625" style="26" customWidth="1"/>
    <col min="2047" max="2047" width="17.140625" style="26" customWidth="1"/>
    <col min="2048" max="2048" width="22.42578125" style="26" bestFit="1" customWidth="1"/>
    <col min="2049" max="2049" width="22.140625" style="26" customWidth="1"/>
    <col min="2050" max="2050" width="17.85546875" style="26" customWidth="1"/>
    <col min="2051" max="2051" width="22.42578125" style="26" customWidth="1"/>
    <col min="2052" max="2052" width="10.140625" style="26" bestFit="1" customWidth="1"/>
    <col min="2053" max="2053" width="13.42578125" style="26" customWidth="1"/>
    <col min="2054" max="2054" width="7.42578125" style="26" bestFit="1" customWidth="1"/>
    <col min="2055" max="2055" width="15.42578125" style="26" bestFit="1" customWidth="1"/>
    <col min="2056" max="2056" width="7.42578125" style="26" bestFit="1" customWidth="1"/>
    <col min="2057" max="2057" width="19.5703125" style="26" bestFit="1" customWidth="1"/>
    <col min="2058" max="2058" width="7.42578125" style="26" bestFit="1" customWidth="1"/>
    <col min="2059" max="2059" width="26.85546875" style="26" bestFit="1" customWidth="1"/>
    <col min="2060" max="2060" width="19.85546875" style="26" bestFit="1" customWidth="1"/>
    <col min="2061" max="2295" width="11.42578125" style="26"/>
    <col min="2296" max="2296" width="2.42578125" style="26" customWidth="1"/>
    <col min="2297" max="2297" width="49" style="26" customWidth="1"/>
    <col min="2298" max="2298" width="16.85546875" style="26" customWidth="1"/>
    <col min="2299" max="2299" width="1.140625" style="26" customWidth="1"/>
    <col min="2300" max="2300" width="20.5703125" style="26" customWidth="1"/>
    <col min="2301" max="2301" width="17.5703125" style="26" customWidth="1"/>
    <col min="2302" max="2302" width="18.140625" style="26" customWidth="1"/>
    <col min="2303" max="2303" width="17.140625" style="26" customWidth="1"/>
    <col min="2304" max="2304" width="22.42578125" style="26" bestFit="1" customWidth="1"/>
    <col min="2305" max="2305" width="22.140625" style="26" customWidth="1"/>
    <col min="2306" max="2306" width="17.85546875" style="26" customWidth="1"/>
    <col min="2307" max="2307" width="22.42578125" style="26" customWidth="1"/>
    <col min="2308" max="2308" width="10.140625" style="26" bestFit="1" customWidth="1"/>
    <col min="2309" max="2309" width="13.42578125" style="26" customWidth="1"/>
    <col min="2310" max="2310" width="7.42578125" style="26" bestFit="1" customWidth="1"/>
    <col min="2311" max="2311" width="15.42578125" style="26" bestFit="1" customWidth="1"/>
    <col min="2312" max="2312" width="7.42578125" style="26" bestFit="1" customWidth="1"/>
    <col min="2313" max="2313" width="19.5703125" style="26" bestFit="1" customWidth="1"/>
    <col min="2314" max="2314" width="7.42578125" style="26" bestFit="1" customWidth="1"/>
    <col min="2315" max="2315" width="26.85546875" style="26" bestFit="1" customWidth="1"/>
    <col min="2316" max="2316" width="19.85546875" style="26" bestFit="1" customWidth="1"/>
    <col min="2317" max="2551" width="11.42578125" style="26"/>
    <col min="2552" max="2552" width="2.42578125" style="26" customWidth="1"/>
    <col min="2553" max="2553" width="49" style="26" customWidth="1"/>
    <col min="2554" max="2554" width="16.85546875" style="26" customWidth="1"/>
    <col min="2555" max="2555" width="1.140625" style="26" customWidth="1"/>
    <col min="2556" max="2556" width="20.5703125" style="26" customWidth="1"/>
    <col min="2557" max="2557" width="17.5703125" style="26" customWidth="1"/>
    <col min="2558" max="2558" width="18.140625" style="26" customWidth="1"/>
    <col min="2559" max="2559" width="17.140625" style="26" customWidth="1"/>
    <col min="2560" max="2560" width="22.42578125" style="26" bestFit="1" customWidth="1"/>
    <col min="2561" max="2561" width="22.140625" style="26" customWidth="1"/>
    <col min="2562" max="2562" width="17.85546875" style="26" customWidth="1"/>
    <col min="2563" max="2563" width="22.42578125" style="26" customWidth="1"/>
    <col min="2564" max="2564" width="10.140625" style="26" bestFit="1" customWidth="1"/>
    <col min="2565" max="2565" width="13.42578125" style="26" customWidth="1"/>
    <col min="2566" max="2566" width="7.42578125" style="26" bestFit="1" customWidth="1"/>
    <col min="2567" max="2567" width="15.42578125" style="26" bestFit="1" customWidth="1"/>
    <col min="2568" max="2568" width="7.42578125" style="26" bestFit="1" customWidth="1"/>
    <col min="2569" max="2569" width="19.5703125" style="26" bestFit="1" customWidth="1"/>
    <col min="2570" max="2570" width="7.42578125" style="26" bestFit="1" customWidth="1"/>
    <col min="2571" max="2571" width="26.85546875" style="26" bestFit="1" customWidth="1"/>
    <col min="2572" max="2572" width="19.85546875" style="26" bestFit="1" customWidth="1"/>
    <col min="2573" max="2807" width="11.42578125" style="26"/>
    <col min="2808" max="2808" width="2.42578125" style="26" customWidth="1"/>
    <col min="2809" max="2809" width="49" style="26" customWidth="1"/>
    <col min="2810" max="2810" width="16.85546875" style="26" customWidth="1"/>
    <col min="2811" max="2811" width="1.140625" style="26" customWidth="1"/>
    <col min="2812" max="2812" width="20.5703125" style="26" customWidth="1"/>
    <col min="2813" max="2813" width="17.5703125" style="26" customWidth="1"/>
    <col min="2814" max="2814" width="18.140625" style="26" customWidth="1"/>
    <col min="2815" max="2815" width="17.140625" style="26" customWidth="1"/>
    <col min="2816" max="2816" width="22.42578125" style="26" bestFit="1" customWidth="1"/>
    <col min="2817" max="2817" width="22.140625" style="26" customWidth="1"/>
    <col min="2818" max="2818" width="17.85546875" style="26" customWidth="1"/>
    <col min="2819" max="2819" width="22.42578125" style="26" customWidth="1"/>
    <col min="2820" max="2820" width="10.140625" style="26" bestFit="1" customWidth="1"/>
    <col min="2821" max="2821" width="13.42578125" style="26" customWidth="1"/>
    <col min="2822" max="2822" width="7.42578125" style="26" bestFit="1" customWidth="1"/>
    <col min="2823" max="2823" width="15.42578125" style="26" bestFit="1" customWidth="1"/>
    <col min="2824" max="2824" width="7.42578125" style="26" bestFit="1" customWidth="1"/>
    <col min="2825" max="2825" width="19.5703125" style="26" bestFit="1" customWidth="1"/>
    <col min="2826" max="2826" width="7.42578125" style="26" bestFit="1" customWidth="1"/>
    <col min="2827" max="2827" width="26.85546875" style="26" bestFit="1" customWidth="1"/>
    <col min="2828" max="2828" width="19.85546875" style="26" bestFit="1" customWidth="1"/>
    <col min="2829" max="3063" width="11.42578125" style="26"/>
    <col min="3064" max="3064" width="2.42578125" style="26" customWidth="1"/>
    <col min="3065" max="3065" width="49" style="26" customWidth="1"/>
    <col min="3066" max="3066" width="16.85546875" style="26" customWidth="1"/>
    <col min="3067" max="3067" width="1.140625" style="26" customWidth="1"/>
    <col min="3068" max="3068" width="20.5703125" style="26" customWidth="1"/>
    <col min="3069" max="3069" width="17.5703125" style="26" customWidth="1"/>
    <col min="3070" max="3070" width="18.140625" style="26" customWidth="1"/>
    <col min="3071" max="3071" width="17.140625" style="26" customWidth="1"/>
    <col min="3072" max="3072" width="22.42578125" style="26" bestFit="1" customWidth="1"/>
    <col min="3073" max="3073" width="22.140625" style="26" customWidth="1"/>
    <col min="3074" max="3074" width="17.85546875" style="26" customWidth="1"/>
    <col min="3075" max="3075" width="22.42578125" style="26" customWidth="1"/>
    <col min="3076" max="3076" width="10.140625" style="26" bestFit="1" customWidth="1"/>
    <col min="3077" max="3077" width="13.42578125" style="26" customWidth="1"/>
    <col min="3078" max="3078" width="7.42578125" style="26" bestFit="1" customWidth="1"/>
    <col min="3079" max="3079" width="15.42578125" style="26" bestFit="1" customWidth="1"/>
    <col min="3080" max="3080" width="7.42578125" style="26" bestFit="1" customWidth="1"/>
    <col min="3081" max="3081" width="19.5703125" style="26" bestFit="1" customWidth="1"/>
    <col min="3082" max="3082" width="7.42578125" style="26" bestFit="1" customWidth="1"/>
    <col min="3083" max="3083" width="26.85546875" style="26" bestFit="1" customWidth="1"/>
    <col min="3084" max="3084" width="19.85546875" style="26" bestFit="1" customWidth="1"/>
    <col min="3085" max="3319" width="11.42578125" style="26"/>
    <col min="3320" max="3320" width="2.42578125" style="26" customWidth="1"/>
    <col min="3321" max="3321" width="49" style="26" customWidth="1"/>
    <col min="3322" max="3322" width="16.85546875" style="26" customWidth="1"/>
    <col min="3323" max="3323" width="1.140625" style="26" customWidth="1"/>
    <col min="3324" max="3324" width="20.5703125" style="26" customWidth="1"/>
    <col min="3325" max="3325" width="17.5703125" style="26" customWidth="1"/>
    <col min="3326" max="3326" width="18.140625" style="26" customWidth="1"/>
    <col min="3327" max="3327" width="17.140625" style="26" customWidth="1"/>
    <col min="3328" max="3328" width="22.42578125" style="26" bestFit="1" customWidth="1"/>
    <col min="3329" max="3329" width="22.140625" style="26" customWidth="1"/>
    <col min="3330" max="3330" width="17.85546875" style="26" customWidth="1"/>
    <col min="3331" max="3331" width="22.42578125" style="26" customWidth="1"/>
    <col min="3332" max="3332" width="10.140625" style="26" bestFit="1" customWidth="1"/>
    <col min="3333" max="3333" width="13.42578125" style="26" customWidth="1"/>
    <col min="3334" max="3334" width="7.42578125" style="26" bestFit="1" customWidth="1"/>
    <col min="3335" max="3335" width="15.42578125" style="26" bestFit="1" customWidth="1"/>
    <col min="3336" max="3336" width="7.42578125" style="26" bestFit="1" customWidth="1"/>
    <col min="3337" max="3337" width="19.5703125" style="26" bestFit="1" customWidth="1"/>
    <col min="3338" max="3338" width="7.42578125" style="26" bestFit="1" customWidth="1"/>
    <col min="3339" max="3339" width="26.85546875" style="26" bestFit="1" customWidth="1"/>
    <col min="3340" max="3340" width="19.85546875" style="26" bestFit="1" customWidth="1"/>
    <col min="3341" max="3575" width="11.42578125" style="26"/>
    <col min="3576" max="3576" width="2.42578125" style="26" customWidth="1"/>
    <col min="3577" max="3577" width="49" style="26" customWidth="1"/>
    <col min="3578" max="3578" width="16.85546875" style="26" customWidth="1"/>
    <col min="3579" max="3579" width="1.140625" style="26" customWidth="1"/>
    <col min="3580" max="3580" width="20.5703125" style="26" customWidth="1"/>
    <col min="3581" max="3581" width="17.5703125" style="26" customWidth="1"/>
    <col min="3582" max="3582" width="18.140625" style="26" customWidth="1"/>
    <col min="3583" max="3583" width="17.140625" style="26" customWidth="1"/>
    <col min="3584" max="3584" width="22.42578125" style="26" bestFit="1" customWidth="1"/>
    <col min="3585" max="3585" width="22.140625" style="26" customWidth="1"/>
    <col min="3586" max="3586" width="17.85546875" style="26" customWidth="1"/>
    <col min="3587" max="3587" width="22.42578125" style="26" customWidth="1"/>
    <col min="3588" max="3588" width="10.140625" style="26" bestFit="1" customWidth="1"/>
    <col min="3589" max="3589" width="13.42578125" style="26" customWidth="1"/>
    <col min="3590" max="3590" width="7.42578125" style="26" bestFit="1" customWidth="1"/>
    <col min="3591" max="3591" width="15.42578125" style="26" bestFit="1" customWidth="1"/>
    <col min="3592" max="3592" width="7.42578125" style="26" bestFit="1" customWidth="1"/>
    <col min="3593" max="3593" width="19.5703125" style="26" bestFit="1" customWidth="1"/>
    <col min="3594" max="3594" width="7.42578125" style="26" bestFit="1" customWidth="1"/>
    <col min="3595" max="3595" width="26.85546875" style="26" bestFit="1" customWidth="1"/>
    <col min="3596" max="3596" width="19.85546875" style="26" bestFit="1" customWidth="1"/>
    <col min="3597" max="3831" width="11.42578125" style="26"/>
    <col min="3832" max="3832" width="2.42578125" style="26" customWidth="1"/>
    <col min="3833" max="3833" width="49" style="26" customWidth="1"/>
    <col min="3834" max="3834" width="16.85546875" style="26" customWidth="1"/>
    <col min="3835" max="3835" width="1.140625" style="26" customWidth="1"/>
    <col min="3836" max="3836" width="20.5703125" style="26" customWidth="1"/>
    <col min="3837" max="3837" width="17.5703125" style="26" customWidth="1"/>
    <col min="3838" max="3838" width="18.140625" style="26" customWidth="1"/>
    <col min="3839" max="3839" width="17.140625" style="26" customWidth="1"/>
    <col min="3840" max="3840" width="22.42578125" style="26" bestFit="1" customWidth="1"/>
    <col min="3841" max="3841" width="22.140625" style="26" customWidth="1"/>
    <col min="3842" max="3842" width="17.85546875" style="26" customWidth="1"/>
    <col min="3843" max="3843" width="22.42578125" style="26" customWidth="1"/>
    <col min="3844" max="3844" width="10.140625" style="26" bestFit="1" customWidth="1"/>
    <col min="3845" max="3845" width="13.42578125" style="26" customWidth="1"/>
    <col min="3846" max="3846" width="7.42578125" style="26" bestFit="1" customWidth="1"/>
    <col min="3847" max="3847" width="15.42578125" style="26" bestFit="1" customWidth="1"/>
    <col min="3848" max="3848" width="7.42578125" style="26" bestFit="1" customWidth="1"/>
    <col min="3849" max="3849" width="19.5703125" style="26" bestFit="1" customWidth="1"/>
    <col min="3850" max="3850" width="7.42578125" style="26" bestFit="1" customWidth="1"/>
    <col min="3851" max="3851" width="26.85546875" style="26" bestFit="1" customWidth="1"/>
    <col min="3852" max="3852" width="19.85546875" style="26" bestFit="1" customWidth="1"/>
    <col min="3853" max="4087" width="11.42578125" style="26"/>
    <col min="4088" max="4088" width="2.42578125" style="26" customWidth="1"/>
    <col min="4089" max="4089" width="49" style="26" customWidth="1"/>
    <col min="4090" max="4090" width="16.85546875" style="26" customWidth="1"/>
    <col min="4091" max="4091" width="1.140625" style="26" customWidth="1"/>
    <col min="4092" max="4092" width="20.5703125" style="26" customWidth="1"/>
    <col min="4093" max="4093" width="17.5703125" style="26" customWidth="1"/>
    <col min="4094" max="4094" width="18.140625" style="26" customWidth="1"/>
    <col min="4095" max="4095" width="17.140625" style="26" customWidth="1"/>
    <col min="4096" max="4096" width="22.42578125" style="26" bestFit="1" customWidth="1"/>
    <col min="4097" max="4097" width="22.140625" style="26" customWidth="1"/>
    <col min="4098" max="4098" width="17.85546875" style="26" customWidth="1"/>
    <col min="4099" max="4099" width="22.42578125" style="26" customWidth="1"/>
    <col min="4100" max="4100" width="10.140625" style="26" bestFit="1" customWidth="1"/>
    <col min="4101" max="4101" width="13.42578125" style="26" customWidth="1"/>
    <col min="4102" max="4102" width="7.42578125" style="26" bestFit="1" customWidth="1"/>
    <col min="4103" max="4103" width="15.42578125" style="26" bestFit="1" customWidth="1"/>
    <col min="4104" max="4104" width="7.42578125" style="26" bestFit="1" customWidth="1"/>
    <col min="4105" max="4105" width="19.5703125" style="26" bestFit="1" customWidth="1"/>
    <col min="4106" max="4106" width="7.42578125" style="26" bestFit="1" customWidth="1"/>
    <col min="4107" max="4107" width="26.85546875" style="26" bestFit="1" customWidth="1"/>
    <col min="4108" max="4108" width="19.85546875" style="26" bestFit="1" customWidth="1"/>
    <col min="4109" max="4343" width="11.42578125" style="26"/>
    <col min="4344" max="4344" width="2.42578125" style="26" customWidth="1"/>
    <col min="4345" max="4345" width="49" style="26" customWidth="1"/>
    <col min="4346" max="4346" width="16.85546875" style="26" customWidth="1"/>
    <col min="4347" max="4347" width="1.140625" style="26" customWidth="1"/>
    <col min="4348" max="4348" width="20.5703125" style="26" customWidth="1"/>
    <col min="4349" max="4349" width="17.5703125" style="26" customWidth="1"/>
    <col min="4350" max="4350" width="18.140625" style="26" customWidth="1"/>
    <col min="4351" max="4351" width="17.140625" style="26" customWidth="1"/>
    <col min="4352" max="4352" width="22.42578125" style="26" bestFit="1" customWidth="1"/>
    <col min="4353" max="4353" width="22.140625" style="26" customWidth="1"/>
    <col min="4354" max="4354" width="17.85546875" style="26" customWidth="1"/>
    <col min="4355" max="4355" width="22.42578125" style="26" customWidth="1"/>
    <col min="4356" max="4356" width="10.140625" style="26" bestFit="1" customWidth="1"/>
    <col min="4357" max="4357" width="13.42578125" style="26" customWidth="1"/>
    <col min="4358" max="4358" width="7.42578125" style="26" bestFit="1" customWidth="1"/>
    <col min="4359" max="4359" width="15.42578125" style="26" bestFit="1" customWidth="1"/>
    <col min="4360" max="4360" width="7.42578125" style="26" bestFit="1" customWidth="1"/>
    <col min="4361" max="4361" width="19.5703125" style="26" bestFit="1" customWidth="1"/>
    <col min="4362" max="4362" width="7.42578125" style="26" bestFit="1" customWidth="1"/>
    <col min="4363" max="4363" width="26.85546875" style="26" bestFit="1" customWidth="1"/>
    <col min="4364" max="4364" width="19.85546875" style="26" bestFit="1" customWidth="1"/>
    <col min="4365" max="4599" width="11.42578125" style="26"/>
    <col min="4600" max="4600" width="2.42578125" style="26" customWidth="1"/>
    <col min="4601" max="4601" width="49" style="26" customWidth="1"/>
    <col min="4602" max="4602" width="16.85546875" style="26" customWidth="1"/>
    <col min="4603" max="4603" width="1.140625" style="26" customWidth="1"/>
    <col min="4604" max="4604" width="20.5703125" style="26" customWidth="1"/>
    <col min="4605" max="4605" width="17.5703125" style="26" customWidth="1"/>
    <col min="4606" max="4606" width="18.140625" style="26" customWidth="1"/>
    <col min="4607" max="4607" width="17.140625" style="26" customWidth="1"/>
    <col min="4608" max="4608" width="22.42578125" style="26" bestFit="1" customWidth="1"/>
    <col min="4609" max="4609" width="22.140625" style="26" customWidth="1"/>
    <col min="4610" max="4610" width="17.85546875" style="26" customWidth="1"/>
    <col min="4611" max="4611" width="22.42578125" style="26" customWidth="1"/>
    <col min="4612" max="4612" width="10.140625" style="26" bestFit="1" customWidth="1"/>
    <col min="4613" max="4613" width="13.42578125" style="26" customWidth="1"/>
    <col min="4614" max="4614" width="7.42578125" style="26" bestFit="1" customWidth="1"/>
    <col min="4615" max="4615" width="15.42578125" style="26" bestFit="1" customWidth="1"/>
    <col min="4616" max="4616" width="7.42578125" style="26" bestFit="1" customWidth="1"/>
    <col min="4617" max="4617" width="19.5703125" style="26" bestFit="1" customWidth="1"/>
    <col min="4618" max="4618" width="7.42578125" style="26" bestFit="1" customWidth="1"/>
    <col min="4619" max="4619" width="26.85546875" style="26" bestFit="1" customWidth="1"/>
    <col min="4620" max="4620" width="19.85546875" style="26" bestFit="1" customWidth="1"/>
    <col min="4621" max="4855" width="11.42578125" style="26"/>
    <col min="4856" max="4856" width="2.42578125" style="26" customWidth="1"/>
    <col min="4857" max="4857" width="49" style="26" customWidth="1"/>
    <col min="4858" max="4858" width="16.85546875" style="26" customWidth="1"/>
    <col min="4859" max="4859" width="1.140625" style="26" customWidth="1"/>
    <col min="4860" max="4860" width="20.5703125" style="26" customWidth="1"/>
    <col min="4861" max="4861" width="17.5703125" style="26" customWidth="1"/>
    <col min="4862" max="4862" width="18.140625" style="26" customWidth="1"/>
    <col min="4863" max="4863" width="17.140625" style="26" customWidth="1"/>
    <col min="4864" max="4864" width="22.42578125" style="26" bestFit="1" customWidth="1"/>
    <col min="4865" max="4865" width="22.140625" style="26" customWidth="1"/>
    <col min="4866" max="4866" width="17.85546875" style="26" customWidth="1"/>
    <col min="4867" max="4867" width="22.42578125" style="26" customWidth="1"/>
    <col min="4868" max="4868" width="10.140625" style="26" bestFit="1" customWidth="1"/>
    <col min="4869" max="4869" width="13.42578125" style="26" customWidth="1"/>
    <col min="4870" max="4870" width="7.42578125" style="26" bestFit="1" customWidth="1"/>
    <col min="4871" max="4871" width="15.42578125" style="26" bestFit="1" customWidth="1"/>
    <col min="4872" max="4872" width="7.42578125" style="26" bestFit="1" customWidth="1"/>
    <col min="4873" max="4873" width="19.5703125" style="26" bestFit="1" customWidth="1"/>
    <col min="4874" max="4874" width="7.42578125" style="26" bestFit="1" customWidth="1"/>
    <col min="4875" max="4875" width="26.85546875" style="26" bestFit="1" customWidth="1"/>
    <col min="4876" max="4876" width="19.85546875" style="26" bestFit="1" customWidth="1"/>
    <col min="4877" max="5111" width="11.42578125" style="26"/>
    <col min="5112" max="5112" width="2.42578125" style="26" customWidth="1"/>
    <col min="5113" max="5113" width="49" style="26" customWidth="1"/>
    <col min="5114" max="5114" width="16.85546875" style="26" customWidth="1"/>
    <col min="5115" max="5115" width="1.140625" style="26" customWidth="1"/>
    <col min="5116" max="5116" width="20.5703125" style="26" customWidth="1"/>
    <col min="5117" max="5117" width="17.5703125" style="26" customWidth="1"/>
    <col min="5118" max="5118" width="18.140625" style="26" customWidth="1"/>
    <col min="5119" max="5119" width="17.140625" style="26" customWidth="1"/>
    <col min="5120" max="5120" width="22.42578125" style="26" bestFit="1" customWidth="1"/>
    <col min="5121" max="5121" width="22.140625" style="26" customWidth="1"/>
    <col min="5122" max="5122" width="17.85546875" style="26" customWidth="1"/>
    <col min="5123" max="5123" width="22.42578125" style="26" customWidth="1"/>
    <col min="5124" max="5124" width="10.140625" style="26" bestFit="1" customWidth="1"/>
    <col min="5125" max="5125" width="13.42578125" style="26" customWidth="1"/>
    <col min="5126" max="5126" width="7.42578125" style="26" bestFit="1" customWidth="1"/>
    <col min="5127" max="5127" width="15.42578125" style="26" bestFit="1" customWidth="1"/>
    <col min="5128" max="5128" width="7.42578125" style="26" bestFit="1" customWidth="1"/>
    <col min="5129" max="5129" width="19.5703125" style="26" bestFit="1" customWidth="1"/>
    <col min="5130" max="5130" width="7.42578125" style="26" bestFit="1" customWidth="1"/>
    <col min="5131" max="5131" width="26.85546875" style="26" bestFit="1" customWidth="1"/>
    <col min="5132" max="5132" width="19.85546875" style="26" bestFit="1" customWidth="1"/>
    <col min="5133" max="5367" width="11.42578125" style="26"/>
    <col min="5368" max="5368" width="2.42578125" style="26" customWidth="1"/>
    <col min="5369" max="5369" width="49" style="26" customWidth="1"/>
    <col min="5370" max="5370" width="16.85546875" style="26" customWidth="1"/>
    <col min="5371" max="5371" width="1.140625" style="26" customWidth="1"/>
    <col min="5372" max="5372" width="20.5703125" style="26" customWidth="1"/>
    <col min="5373" max="5373" width="17.5703125" style="26" customWidth="1"/>
    <col min="5374" max="5374" width="18.140625" style="26" customWidth="1"/>
    <col min="5375" max="5375" width="17.140625" style="26" customWidth="1"/>
    <col min="5376" max="5376" width="22.42578125" style="26" bestFit="1" customWidth="1"/>
    <col min="5377" max="5377" width="22.140625" style="26" customWidth="1"/>
    <col min="5378" max="5378" width="17.85546875" style="26" customWidth="1"/>
    <col min="5379" max="5379" width="22.42578125" style="26" customWidth="1"/>
    <col min="5380" max="5380" width="10.140625" style="26" bestFit="1" customWidth="1"/>
    <col min="5381" max="5381" width="13.42578125" style="26" customWidth="1"/>
    <col min="5382" max="5382" width="7.42578125" style="26" bestFit="1" customWidth="1"/>
    <col min="5383" max="5383" width="15.42578125" style="26" bestFit="1" customWidth="1"/>
    <col min="5384" max="5384" width="7.42578125" style="26" bestFit="1" customWidth="1"/>
    <col min="5385" max="5385" width="19.5703125" style="26" bestFit="1" customWidth="1"/>
    <col min="5386" max="5386" width="7.42578125" style="26" bestFit="1" customWidth="1"/>
    <col min="5387" max="5387" width="26.85546875" style="26" bestFit="1" customWidth="1"/>
    <col min="5388" max="5388" width="19.85546875" style="26" bestFit="1" customWidth="1"/>
    <col min="5389" max="5623" width="11.42578125" style="26"/>
    <col min="5624" max="5624" width="2.42578125" style="26" customWidth="1"/>
    <col min="5625" max="5625" width="49" style="26" customWidth="1"/>
    <col min="5626" max="5626" width="16.85546875" style="26" customWidth="1"/>
    <col min="5627" max="5627" width="1.140625" style="26" customWidth="1"/>
    <col min="5628" max="5628" width="20.5703125" style="26" customWidth="1"/>
    <col min="5629" max="5629" width="17.5703125" style="26" customWidth="1"/>
    <col min="5630" max="5630" width="18.140625" style="26" customWidth="1"/>
    <col min="5631" max="5631" width="17.140625" style="26" customWidth="1"/>
    <col min="5632" max="5632" width="22.42578125" style="26" bestFit="1" customWidth="1"/>
    <col min="5633" max="5633" width="22.140625" style="26" customWidth="1"/>
    <col min="5634" max="5634" width="17.85546875" style="26" customWidth="1"/>
    <col min="5635" max="5635" width="22.42578125" style="26" customWidth="1"/>
    <col min="5636" max="5636" width="10.140625" style="26" bestFit="1" customWidth="1"/>
    <col min="5637" max="5637" width="13.42578125" style="26" customWidth="1"/>
    <col min="5638" max="5638" width="7.42578125" style="26" bestFit="1" customWidth="1"/>
    <col min="5639" max="5639" width="15.42578125" style="26" bestFit="1" customWidth="1"/>
    <col min="5640" max="5640" width="7.42578125" style="26" bestFit="1" customWidth="1"/>
    <col min="5641" max="5641" width="19.5703125" style="26" bestFit="1" customWidth="1"/>
    <col min="5642" max="5642" width="7.42578125" style="26" bestFit="1" customWidth="1"/>
    <col min="5643" max="5643" width="26.85546875" style="26" bestFit="1" customWidth="1"/>
    <col min="5644" max="5644" width="19.85546875" style="26" bestFit="1" customWidth="1"/>
    <col min="5645" max="5879" width="11.42578125" style="26"/>
    <col min="5880" max="5880" width="2.42578125" style="26" customWidth="1"/>
    <col min="5881" max="5881" width="49" style="26" customWidth="1"/>
    <col min="5882" max="5882" width="16.85546875" style="26" customWidth="1"/>
    <col min="5883" max="5883" width="1.140625" style="26" customWidth="1"/>
    <col min="5884" max="5884" width="20.5703125" style="26" customWidth="1"/>
    <col min="5885" max="5885" width="17.5703125" style="26" customWidth="1"/>
    <col min="5886" max="5886" width="18.140625" style="26" customWidth="1"/>
    <col min="5887" max="5887" width="17.140625" style="26" customWidth="1"/>
    <col min="5888" max="5888" width="22.42578125" style="26" bestFit="1" customWidth="1"/>
    <col min="5889" max="5889" width="22.140625" style="26" customWidth="1"/>
    <col min="5890" max="5890" width="17.85546875" style="26" customWidth="1"/>
    <col min="5891" max="5891" width="22.42578125" style="26" customWidth="1"/>
    <col min="5892" max="5892" width="10.140625" style="26" bestFit="1" customWidth="1"/>
    <col min="5893" max="5893" width="13.42578125" style="26" customWidth="1"/>
    <col min="5894" max="5894" width="7.42578125" style="26" bestFit="1" customWidth="1"/>
    <col min="5895" max="5895" width="15.42578125" style="26" bestFit="1" customWidth="1"/>
    <col min="5896" max="5896" width="7.42578125" style="26" bestFit="1" customWidth="1"/>
    <col min="5897" max="5897" width="19.5703125" style="26" bestFit="1" customWidth="1"/>
    <col min="5898" max="5898" width="7.42578125" style="26" bestFit="1" customWidth="1"/>
    <col min="5899" max="5899" width="26.85546875" style="26" bestFit="1" customWidth="1"/>
    <col min="5900" max="5900" width="19.85546875" style="26" bestFit="1" customWidth="1"/>
    <col min="5901" max="6135" width="11.42578125" style="26"/>
    <col min="6136" max="6136" width="2.42578125" style="26" customWidth="1"/>
    <col min="6137" max="6137" width="49" style="26" customWidth="1"/>
    <col min="6138" max="6138" width="16.85546875" style="26" customWidth="1"/>
    <col min="6139" max="6139" width="1.140625" style="26" customWidth="1"/>
    <col min="6140" max="6140" width="20.5703125" style="26" customWidth="1"/>
    <col min="6141" max="6141" width="17.5703125" style="26" customWidth="1"/>
    <col min="6142" max="6142" width="18.140625" style="26" customWidth="1"/>
    <col min="6143" max="6143" width="17.140625" style="26" customWidth="1"/>
    <col min="6144" max="6144" width="22.42578125" style="26" bestFit="1" customWidth="1"/>
    <col min="6145" max="6145" width="22.140625" style="26" customWidth="1"/>
    <col min="6146" max="6146" width="17.85546875" style="26" customWidth="1"/>
    <col min="6147" max="6147" width="22.42578125" style="26" customWidth="1"/>
    <col min="6148" max="6148" width="10.140625" style="26" bestFit="1" customWidth="1"/>
    <col min="6149" max="6149" width="13.42578125" style="26" customWidth="1"/>
    <col min="6150" max="6150" width="7.42578125" style="26" bestFit="1" customWidth="1"/>
    <col min="6151" max="6151" width="15.42578125" style="26" bestFit="1" customWidth="1"/>
    <col min="6152" max="6152" width="7.42578125" style="26" bestFit="1" customWidth="1"/>
    <col min="6153" max="6153" width="19.5703125" style="26" bestFit="1" customWidth="1"/>
    <col min="6154" max="6154" width="7.42578125" style="26" bestFit="1" customWidth="1"/>
    <col min="6155" max="6155" width="26.85546875" style="26" bestFit="1" customWidth="1"/>
    <col min="6156" max="6156" width="19.85546875" style="26" bestFit="1" customWidth="1"/>
    <col min="6157" max="6391" width="11.42578125" style="26"/>
    <col min="6392" max="6392" width="2.42578125" style="26" customWidth="1"/>
    <col min="6393" max="6393" width="49" style="26" customWidth="1"/>
    <col min="6394" max="6394" width="16.85546875" style="26" customWidth="1"/>
    <col min="6395" max="6395" width="1.140625" style="26" customWidth="1"/>
    <col min="6396" max="6396" width="20.5703125" style="26" customWidth="1"/>
    <col min="6397" max="6397" width="17.5703125" style="26" customWidth="1"/>
    <col min="6398" max="6398" width="18.140625" style="26" customWidth="1"/>
    <col min="6399" max="6399" width="17.140625" style="26" customWidth="1"/>
    <col min="6400" max="6400" width="22.42578125" style="26" bestFit="1" customWidth="1"/>
    <col min="6401" max="6401" width="22.140625" style="26" customWidth="1"/>
    <col min="6402" max="6402" width="17.85546875" style="26" customWidth="1"/>
    <col min="6403" max="6403" width="22.42578125" style="26" customWidth="1"/>
    <col min="6404" max="6404" width="10.140625" style="26" bestFit="1" customWidth="1"/>
    <col min="6405" max="6405" width="13.42578125" style="26" customWidth="1"/>
    <col min="6406" max="6406" width="7.42578125" style="26" bestFit="1" customWidth="1"/>
    <col min="6407" max="6407" width="15.42578125" style="26" bestFit="1" customWidth="1"/>
    <col min="6408" max="6408" width="7.42578125" style="26" bestFit="1" customWidth="1"/>
    <col min="6409" max="6409" width="19.5703125" style="26" bestFit="1" customWidth="1"/>
    <col min="6410" max="6410" width="7.42578125" style="26" bestFit="1" customWidth="1"/>
    <col min="6411" max="6411" width="26.85546875" style="26" bestFit="1" customWidth="1"/>
    <col min="6412" max="6412" width="19.85546875" style="26" bestFit="1" customWidth="1"/>
    <col min="6413" max="6647" width="11.42578125" style="26"/>
    <col min="6648" max="6648" width="2.42578125" style="26" customWidth="1"/>
    <col min="6649" max="6649" width="49" style="26" customWidth="1"/>
    <col min="6650" max="6650" width="16.85546875" style="26" customWidth="1"/>
    <col min="6651" max="6651" width="1.140625" style="26" customWidth="1"/>
    <col min="6652" max="6652" width="20.5703125" style="26" customWidth="1"/>
    <col min="6653" max="6653" width="17.5703125" style="26" customWidth="1"/>
    <col min="6654" max="6654" width="18.140625" style="26" customWidth="1"/>
    <col min="6655" max="6655" width="17.140625" style="26" customWidth="1"/>
    <col min="6656" max="6656" width="22.42578125" style="26" bestFit="1" customWidth="1"/>
    <col min="6657" max="6657" width="22.140625" style="26" customWidth="1"/>
    <col min="6658" max="6658" width="17.85546875" style="26" customWidth="1"/>
    <col min="6659" max="6659" width="22.42578125" style="26" customWidth="1"/>
    <col min="6660" max="6660" width="10.140625" style="26" bestFit="1" customWidth="1"/>
    <col min="6661" max="6661" width="13.42578125" style="26" customWidth="1"/>
    <col min="6662" max="6662" width="7.42578125" style="26" bestFit="1" customWidth="1"/>
    <col min="6663" max="6663" width="15.42578125" style="26" bestFit="1" customWidth="1"/>
    <col min="6664" max="6664" width="7.42578125" style="26" bestFit="1" customWidth="1"/>
    <col min="6665" max="6665" width="19.5703125" style="26" bestFit="1" customWidth="1"/>
    <col min="6666" max="6666" width="7.42578125" style="26" bestFit="1" customWidth="1"/>
    <col min="6667" max="6667" width="26.85546875" style="26" bestFit="1" customWidth="1"/>
    <col min="6668" max="6668" width="19.85546875" style="26" bestFit="1" customWidth="1"/>
    <col min="6669" max="6903" width="11.42578125" style="26"/>
    <col min="6904" max="6904" width="2.42578125" style="26" customWidth="1"/>
    <col min="6905" max="6905" width="49" style="26" customWidth="1"/>
    <col min="6906" max="6906" width="16.85546875" style="26" customWidth="1"/>
    <col min="6907" max="6907" width="1.140625" style="26" customWidth="1"/>
    <col min="6908" max="6908" width="20.5703125" style="26" customWidth="1"/>
    <col min="6909" max="6909" width="17.5703125" style="26" customWidth="1"/>
    <col min="6910" max="6910" width="18.140625" style="26" customWidth="1"/>
    <col min="6911" max="6911" width="17.140625" style="26" customWidth="1"/>
    <col min="6912" max="6912" width="22.42578125" style="26" bestFit="1" customWidth="1"/>
    <col min="6913" max="6913" width="22.140625" style="26" customWidth="1"/>
    <col min="6914" max="6914" width="17.85546875" style="26" customWidth="1"/>
    <col min="6915" max="6915" width="22.42578125" style="26" customWidth="1"/>
    <col min="6916" max="6916" width="10.140625" style="26" bestFit="1" customWidth="1"/>
    <col min="6917" max="6917" width="13.42578125" style="26" customWidth="1"/>
    <col min="6918" max="6918" width="7.42578125" style="26" bestFit="1" customWidth="1"/>
    <col min="6919" max="6919" width="15.42578125" style="26" bestFit="1" customWidth="1"/>
    <col min="6920" max="6920" width="7.42578125" style="26" bestFit="1" customWidth="1"/>
    <col min="6921" max="6921" width="19.5703125" style="26" bestFit="1" customWidth="1"/>
    <col min="6922" max="6922" width="7.42578125" style="26" bestFit="1" customWidth="1"/>
    <col min="6923" max="6923" width="26.85546875" style="26" bestFit="1" customWidth="1"/>
    <col min="6924" max="6924" width="19.85546875" style="26" bestFit="1" customWidth="1"/>
    <col min="6925" max="7159" width="11.42578125" style="26"/>
    <col min="7160" max="7160" width="2.42578125" style="26" customWidth="1"/>
    <col min="7161" max="7161" width="49" style="26" customWidth="1"/>
    <col min="7162" max="7162" width="16.85546875" style="26" customWidth="1"/>
    <col min="7163" max="7163" width="1.140625" style="26" customWidth="1"/>
    <col min="7164" max="7164" width="20.5703125" style="26" customWidth="1"/>
    <col min="7165" max="7165" width="17.5703125" style="26" customWidth="1"/>
    <col min="7166" max="7166" width="18.140625" style="26" customWidth="1"/>
    <col min="7167" max="7167" width="17.140625" style="26" customWidth="1"/>
    <col min="7168" max="7168" width="22.42578125" style="26" bestFit="1" customWidth="1"/>
    <col min="7169" max="7169" width="22.140625" style="26" customWidth="1"/>
    <col min="7170" max="7170" width="17.85546875" style="26" customWidth="1"/>
    <col min="7171" max="7171" width="22.42578125" style="26" customWidth="1"/>
    <col min="7172" max="7172" width="10.140625" style="26" bestFit="1" customWidth="1"/>
    <col min="7173" max="7173" width="13.42578125" style="26" customWidth="1"/>
    <col min="7174" max="7174" width="7.42578125" style="26" bestFit="1" customWidth="1"/>
    <col min="7175" max="7175" width="15.42578125" style="26" bestFit="1" customWidth="1"/>
    <col min="7176" max="7176" width="7.42578125" style="26" bestFit="1" customWidth="1"/>
    <col min="7177" max="7177" width="19.5703125" style="26" bestFit="1" customWidth="1"/>
    <col min="7178" max="7178" width="7.42578125" style="26" bestFit="1" customWidth="1"/>
    <col min="7179" max="7179" width="26.85546875" style="26" bestFit="1" customWidth="1"/>
    <col min="7180" max="7180" width="19.85546875" style="26" bestFit="1" customWidth="1"/>
    <col min="7181" max="7415" width="11.42578125" style="26"/>
    <col min="7416" max="7416" width="2.42578125" style="26" customWidth="1"/>
    <col min="7417" max="7417" width="49" style="26" customWidth="1"/>
    <col min="7418" max="7418" width="16.85546875" style="26" customWidth="1"/>
    <col min="7419" max="7419" width="1.140625" style="26" customWidth="1"/>
    <col min="7420" max="7420" width="20.5703125" style="26" customWidth="1"/>
    <col min="7421" max="7421" width="17.5703125" style="26" customWidth="1"/>
    <col min="7422" max="7422" width="18.140625" style="26" customWidth="1"/>
    <col min="7423" max="7423" width="17.140625" style="26" customWidth="1"/>
    <col min="7424" max="7424" width="22.42578125" style="26" bestFit="1" customWidth="1"/>
    <col min="7425" max="7425" width="22.140625" style="26" customWidth="1"/>
    <col min="7426" max="7426" width="17.85546875" style="26" customWidth="1"/>
    <col min="7427" max="7427" width="22.42578125" style="26" customWidth="1"/>
    <col min="7428" max="7428" width="10.140625" style="26" bestFit="1" customWidth="1"/>
    <col min="7429" max="7429" width="13.42578125" style="26" customWidth="1"/>
    <col min="7430" max="7430" width="7.42578125" style="26" bestFit="1" customWidth="1"/>
    <col min="7431" max="7431" width="15.42578125" style="26" bestFit="1" customWidth="1"/>
    <col min="7432" max="7432" width="7.42578125" style="26" bestFit="1" customWidth="1"/>
    <col min="7433" max="7433" width="19.5703125" style="26" bestFit="1" customWidth="1"/>
    <col min="7434" max="7434" width="7.42578125" style="26" bestFit="1" customWidth="1"/>
    <col min="7435" max="7435" width="26.85546875" style="26" bestFit="1" customWidth="1"/>
    <col min="7436" max="7436" width="19.85546875" style="26" bestFit="1" customWidth="1"/>
    <col min="7437" max="7671" width="11.42578125" style="26"/>
    <col min="7672" max="7672" width="2.42578125" style="26" customWidth="1"/>
    <col min="7673" max="7673" width="49" style="26" customWidth="1"/>
    <col min="7674" max="7674" width="16.85546875" style="26" customWidth="1"/>
    <col min="7675" max="7675" width="1.140625" style="26" customWidth="1"/>
    <col min="7676" max="7676" width="20.5703125" style="26" customWidth="1"/>
    <col min="7677" max="7677" width="17.5703125" style="26" customWidth="1"/>
    <col min="7678" max="7678" width="18.140625" style="26" customWidth="1"/>
    <col min="7679" max="7679" width="17.140625" style="26" customWidth="1"/>
    <col min="7680" max="7680" width="22.42578125" style="26" bestFit="1" customWidth="1"/>
    <col min="7681" max="7681" width="22.140625" style="26" customWidth="1"/>
    <col min="7682" max="7682" width="17.85546875" style="26" customWidth="1"/>
    <col min="7683" max="7683" width="22.42578125" style="26" customWidth="1"/>
    <col min="7684" max="7684" width="10.140625" style="26" bestFit="1" customWidth="1"/>
    <col min="7685" max="7685" width="13.42578125" style="26" customWidth="1"/>
    <col min="7686" max="7686" width="7.42578125" style="26" bestFit="1" customWidth="1"/>
    <col min="7687" max="7687" width="15.42578125" style="26" bestFit="1" customWidth="1"/>
    <col min="7688" max="7688" width="7.42578125" style="26" bestFit="1" customWidth="1"/>
    <col min="7689" max="7689" width="19.5703125" style="26" bestFit="1" customWidth="1"/>
    <col min="7690" max="7690" width="7.42578125" style="26" bestFit="1" customWidth="1"/>
    <col min="7691" max="7691" width="26.85546875" style="26" bestFit="1" customWidth="1"/>
    <col min="7692" max="7692" width="19.85546875" style="26" bestFit="1" customWidth="1"/>
    <col min="7693" max="7927" width="11.42578125" style="26"/>
    <col min="7928" max="7928" width="2.42578125" style="26" customWidth="1"/>
    <col min="7929" max="7929" width="49" style="26" customWidth="1"/>
    <col min="7930" max="7930" width="16.85546875" style="26" customWidth="1"/>
    <col min="7931" max="7931" width="1.140625" style="26" customWidth="1"/>
    <col min="7932" max="7932" width="20.5703125" style="26" customWidth="1"/>
    <col min="7933" max="7933" width="17.5703125" style="26" customWidth="1"/>
    <col min="7934" max="7934" width="18.140625" style="26" customWidth="1"/>
    <col min="7935" max="7935" width="17.140625" style="26" customWidth="1"/>
    <col min="7936" max="7936" width="22.42578125" style="26" bestFit="1" customWidth="1"/>
    <col min="7937" max="7937" width="22.140625" style="26" customWidth="1"/>
    <col min="7938" max="7938" width="17.85546875" style="26" customWidth="1"/>
    <col min="7939" max="7939" width="22.42578125" style="26" customWidth="1"/>
    <col min="7940" max="7940" width="10.140625" style="26" bestFit="1" customWidth="1"/>
    <col min="7941" max="7941" width="13.42578125" style="26" customWidth="1"/>
    <col min="7942" max="7942" width="7.42578125" style="26" bestFit="1" customWidth="1"/>
    <col min="7943" max="7943" width="15.42578125" style="26" bestFit="1" customWidth="1"/>
    <col min="7944" max="7944" width="7.42578125" style="26" bestFit="1" customWidth="1"/>
    <col min="7945" max="7945" width="19.5703125" style="26" bestFit="1" customWidth="1"/>
    <col min="7946" max="7946" width="7.42578125" style="26" bestFit="1" customWidth="1"/>
    <col min="7947" max="7947" width="26.85546875" style="26" bestFit="1" customWidth="1"/>
    <col min="7948" max="7948" width="19.85546875" style="26" bestFit="1" customWidth="1"/>
    <col min="7949" max="8183" width="11.42578125" style="26"/>
    <col min="8184" max="8184" width="2.42578125" style="26" customWidth="1"/>
    <col min="8185" max="8185" width="49" style="26" customWidth="1"/>
    <col min="8186" max="8186" width="16.85546875" style="26" customWidth="1"/>
    <col min="8187" max="8187" width="1.140625" style="26" customWidth="1"/>
    <col min="8188" max="8188" width="20.5703125" style="26" customWidth="1"/>
    <col min="8189" max="8189" width="17.5703125" style="26" customWidth="1"/>
    <col min="8190" max="8190" width="18.140625" style="26" customWidth="1"/>
    <col min="8191" max="8191" width="17.140625" style="26" customWidth="1"/>
    <col min="8192" max="8192" width="22.42578125" style="26" bestFit="1" customWidth="1"/>
    <col min="8193" max="8193" width="22.140625" style="26" customWidth="1"/>
    <col min="8194" max="8194" width="17.85546875" style="26" customWidth="1"/>
    <col min="8195" max="8195" width="22.42578125" style="26" customWidth="1"/>
    <col min="8196" max="8196" width="10.140625" style="26" bestFit="1" customWidth="1"/>
    <col min="8197" max="8197" width="13.42578125" style="26" customWidth="1"/>
    <col min="8198" max="8198" width="7.42578125" style="26" bestFit="1" customWidth="1"/>
    <col min="8199" max="8199" width="15.42578125" style="26" bestFit="1" customWidth="1"/>
    <col min="8200" max="8200" width="7.42578125" style="26" bestFit="1" customWidth="1"/>
    <col min="8201" max="8201" width="19.5703125" style="26" bestFit="1" customWidth="1"/>
    <col min="8202" max="8202" width="7.42578125" style="26" bestFit="1" customWidth="1"/>
    <col min="8203" max="8203" width="26.85546875" style="26" bestFit="1" customWidth="1"/>
    <col min="8204" max="8204" width="19.85546875" style="26" bestFit="1" customWidth="1"/>
    <col min="8205" max="8439" width="11.42578125" style="26"/>
    <col min="8440" max="8440" width="2.42578125" style="26" customWidth="1"/>
    <col min="8441" max="8441" width="49" style="26" customWidth="1"/>
    <col min="8442" max="8442" width="16.85546875" style="26" customWidth="1"/>
    <col min="8443" max="8443" width="1.140625" style="26" customWidth="1"/>
    <col min="8444" max="8444" width="20.5703125" style="26" customWidth="1"/>
    <col min="8445" max="8445" width="17.5703125" style="26" customWidth="1"/>
    <col min="8446" max="8446" width="18.140625" style="26" customWidth="1"/>
    <col min="8447" max="8447" width="17.140625" style="26" customWidth="1"/>
    <col min="8448" max="8448" width="22.42578125" style="26" bestFit="1" customWidth="1"/>
    <col min="8449" max="8449" width="22.140625" style="26" customWidth="1"/>
    <col min="8450" max="8450" width="17.85546875" style="26" customWidth="1"/>
    <col min="8451" max="8451" width="22.42578125" style="26" customWidth="1"/>
    <col min="8452" max="8452" width="10.140625" style="26" bestFit="1" customWidth="1"/>
    <col min="8453" max="8453" width="13.42578125" style="26" customWidth="1"/>
    <col min="8454" max="8454" width="7.42578125" style="26" bestFit="1" customWidth="1"/>
    <col min="8455" max="8455" width="15.42578125" style="26" bestFit="1" customWidth="1"/>
    <col min="8456" max="8456" width="7.42578125" style="26" bestFit="1" customWidth="1"/>
    <col min="8457" max="8457" width="19.5703125" style="26" bestFit="1" customWidth="1"/>
    <col min="8458" max="8458" width="7.42578125" style="26" bestFit="1" customWidth="1"/>
    <col min="8459" max="8459" width="26.85546875" style="26" bestFit="1" customWidth="1"/>
    <col min="8460" max="8460" width="19.85546875" style="26" bestFit="1" customWidth="1"/>
    <col min="8461" max="8695" width="11.42578125" style="26"/>
    <col min="8696" max="8696" width="2.42578125" style="26" customWidth="1"/>
    <col min="8697" max="8697" width="49" style="26" customWidth="1"/>
    <col min="8698" max="8698" width="16.85546875" style="26" customWidth="1"/>
    <col min="8699" max="8699" width="1.140625" style="26" customWidth="1"/>
    <col min="8700" max="8700" width="20.5703125" style="26" customWidth="1"/>
    <col min="8701" max="8701" width="17.5703125" style="26" customWidth="1"/>
    <col min="8702" max="8702" width="18.140625" style="26" customWidth="1"/>
    <col min="8703" max="8703" width="17.140625" style="26" customWidth="1"/>
    <col min="8704" max="8704" width="22.42578125" style="26" bestFit="1" customWidth="1"/>
    <col min="8705" max="8705" width="22.140625" style="26" customWidth="1"/>
    <col min="8706" max="8706" width="17.85546875" style="26" customWidth="1"/>
    <col min="8707" max="8707" width="22.42578125" style="26" customWidth="1"/>
    <col min="8708" max="8708" width="10.140625" style="26" bestFit="1" customWidth="1"/>
    <col min="8709" max="8709" width="13.42578125" style="26" customWidth="1"/>
    <col min="8710" max="8710" width="7.42578125" style="26" bestFit="1" customWidth="1"/>
    <col min="8711" max="8711" width="15.42578125" style="26" bestFit="1" customWidth="1"/>
    <col min="8712" max="8712" width="7.42578125" style="26" bestFit="1" customWidth="1"/>
    <col min="8713" max="8713" width="19.5703125" style="26" bestFit="1" customWidth="1"/>
    <col min="8714" max="8714" width="7.42578125" style="26" bestFit="1" customWidth="1"/>
    <col min="8715" max="8715" width="26.85546875" style="26" bestFit="1" customWidth="1"/>
    <col min="8716" max="8716" width="19.85546875" style="26" bestFit="1" customWidth="1"/>
    <col min="8717" max="8951" width="11.42578125" style="26"/>
    <col min="8952" max="8952" width="2.42578125" style="26" customWidth="1"/>
    <col min="8953" max="8953" width="49" style="26" customWidth="1"/>
    <col min="8954" max="8954" width="16.85546875" style="26" customWidth="1"/>
    <col min="8955" max="8955" width="1.140625" style="26" customWidth="1"/>
    <col min="8956" max="8956" width="20.5703125" style="26" customWidth="1"/>
    <col min="8957" max="8957" width="17.5703125" style="26" customWidth="1"/>
    <col min="8958" max="8958" width="18.140625" style="26" customWidth="1"/>
    <col min="8959" max="8959" width="17.140625" style="26" customWidth="1"/>
    <col min="8960" max="8960" width="22.42578125" style="26" bestFit="1" customWidth="1"/>
    <col min="8961" max="8961" width="22.140625" style="26" customWidth="1"/>
    <col min="8962" max="8962" width="17.85546875" style="26" customWidth="1"/>
    <col min="8963" max="8963" width="22.42578125" style="26" customWidth="1"/>
    <col min="8964" max="8964" width="10.140625" style="26" bestFit="1" customWidth="1"/>
    <col min="8965" max="8965" width="13.42578125" style="26" customWidth="1"/>
    <col min="8966" max="8966" width="7.42578125" style="26" bestFit="1" customWidth="1"/>
    <col min="8967" max="8967" width="15.42578125" style="26" bestFit="1" customWidth="1"/>
    <col min="8968" max="8968" width="7.42578125" style="26" bestFit="1" customWidth="1"/>
    <col min="8969" max="8969" width="19.5703125" style="26" bestFit="1" customWidth="1"/>
    <col min="8970" max="8970" width="7.42578125" style="26" bestFit="1" customWidth="1"/>
    <col min="8971" max="8971" width="26.85546875" style="26" bestFit="1" customWidth="1"/>
    <col min="8972" max="8972" width="19.85546875" style="26" bestFit="1" customWidth="1"/>
    <col min="8973" max="9207" width="11.42578125" style="26"/>
    <col min="9208" max="9208" width="2.42578125" style="26" customWidth="1"/>
    <col min="9209" max="9209" width="49" style="26" customWidth="1"/>
    <col min="9210" max="9210" width="16.85546875" style="26" customWidth="1"/>
    <col min="9211" max="9211" width="1.140625" style="26" customWidth="1"/>
    <col min="9212" max="9212" width="20.5703125" style="26" customWidth="1"/>
    <col min="9213" max="9213" width="17.5703125" style="26" customWidth="1"/>
    <col min="9214" max="9214" width="18.140625" style="26" customWidth="1"/>
    <col min="9215" max="9215" width="17.140625" style="26" customWidth="1"/>
    <col min="9216" max="9216" width="22.42578125" style="26" bestFit="1" customWidth="1"/>
    <col min="9217" max="9217" width="22.140625" style="26" customWidth="1"/>
    <col min="9218" max="9218" width="17.85546875" style="26" customWidth="1"/>
    <col min="9219" max="9219" width="22.42578125" style="26" customWidth="1"/>
    <col min="9220" max="9220" width="10.140625" style="26" bestFit="1" customWidth="1"/>
    <col min="9221" max="9221" width="13.42578125" style="26" customWidth="1"/>
    <col min="9222" max="9222" width="7.42578125" style="26" bestFit="1" customWidth="1"/>
    <col min="9223" max="9223" width="15.42578125" style="26" bestFit="1" customWidth="1"/>
    <col min="9224" max="9224" width="7.42578125" style="26" bestFit="1" customWidth="1"/>
    <col min="9225" max="9225" width="19.5703125" style="26" bestFit="1" customWidth="1"/>
    <col min="9226" max="9226" width="7.42578125" style="26" bestFit="1" customWidth="1"/>
    <col min="9227" max="9227" width="26.85546875" style="26" bestFit="1" customWidth="1"/>
    <col min="9228" max="9228" width="19.85546875" style="26" bestFit="1" customWidth="1"/>
    <col min="9229" max="9463" width="11.42578125" style="26"/>
    <col min="9464" max="9464" width="2.42578125" style="26" customWidth="1"/>
    <col min="9465" max="9465" width="49" style="26" customWidth="1"/>
    <col min="9466" max="9466" width="16.85546875" style="26" customWidth="1"/>
    <col min="9467" max="9467" width="1.140625" style="26" customWidth="1"/>
    <col min="9468" max="9468" width="20.5703125" style="26" customWidth="1"/>
    <col min="9469" max="9469" width="17.5703125" style="26" customWidth="1"/>
    <col min="9470" max="9470" width="18.140625" style="26" customWidth="1"/>
    <col min="9471" max="9471" width="17.140625" style="26" customWidth="1"/>
    <col min="9472" max="9472" width="22.42578125" style="26" bestFit="1" customWidth="1"/>
    <col min="9473" max="9473" width="22.140625" style="26" customWidth="1"/>
    <col min="9474" max="9474" width="17.85546875" style="26" customWidth="1"/>
    <col min="9475" max="9475" width="22.42578125" style="26" customWidth="1"/>
    <col min="9476" max="9476" width="10.140625" style="26" bestFit="1" customWidth="1"/>
    <col min="9477" max="9477" width="13.42578125" style="26" customWidth="1"/>
    <col min="9478" max="9478" width="7.42578125" style="26" bestFit="1" customWidth="1"/>
    <col min="9479" max="9479" width="15.42578125" style="26" bestFit="1" customWidth="1"/>
    <col min="9480" max="9480" width="7.42578125" style="26" bestFit="1" customWidth="1"/>
    <col min="9481" max="9481" width="19.5703125" style="26" bestFit="1" customWidth="1"/>
    <col min="9482" max="9482" width="7.42578125" style="26" bestFit="1" customWidth="1"/>
    <col min="9483" max="9483" width="26.85546875" style="26" bestFit="1" customWidth="1"/>
    <col min="9484" max="9484" width="19.85546875" style="26" bestFit="1" customWidth="1"/>
    <col min="9485" max="9719" width="11.42578125" style="26"/>
    <col min="9720" max="9720" width="2.42578125" style="26" customWidth="1"/>
    <col min="9721" max="9721" width="49" style="26" customWidth="1"/>
    <col min="9722" max="9722" width="16.85546875" style="26" customWidth="1"/>
    <col min="9723" max="9723" width="1.140625" style="26" customWidth="1"/>
    <col min="9724" max="9724" width="20.5703125" style="26" customWidth="1"/>
    <col min="9725" max="9725" width="17.5703125" style="26" customWidth="1"/>
    <col min="9726" max="9726" width="18.140625" style="26" customWidth="1"/>
    <col min="9727" max="9727" width="17.140625" style="26" customWidth="1"/>
    <col min="9728" max="9728" width="22.42578125" style="26" bestFit="1" customWidth="1"/>
    <col min="9729" max="9729" width="22.140625" style="26" customWidth="1"/>
    <col min="9730" max="9730" width="17.85546875" style="26" customWidth="1"/>
    <col min="9731" max="9731" width="22.42578125" style="26" customWidth="1"/>
    <col min="9732" max="9732" width="10.140625" style="26" bestFit="1" customWidth="1"/>
    <col min="9733" max="9733" width="13.42578125" style="26" customWidth="1"/>
    <col min="9734" max="9734" width="7.42578125" style="26" bestFit="1" customWidth="1"/>
    <col min="9735" max="9735" width="15.42578125" style="26" bestFit="1" customWidth="1"/>
    <col min="9736" max="9736" width="7.42578125" style="26" bestFit="1" customWidth="1"/>
    <col min="9737" max="9737" width="19.5703125" style="26" bestFit="1" customWidth="1"/>
    <col min="9738" max="9738" width="7.42578125" style="26" bestFit="1" customWidth="1"/>
    <col min="9739" max="9739" width="26.85546875" style="26" bestFit="1" customWidth="1"/>
    <col min="9740" max="9740" width="19.85546875" style="26" bestFit="1" customWidth="1"/>
    <col min="9741" max="9975" width="11.42578125" style="26"/>
    <col min="9976" max="9976" width="2.42578125" style="26" customWidth="1"/>
    <col min="9977" max="9977" width="49" style="26" customWidth="1"/>
    <col min="9978" max="9978" width="16.85546875" style="26" customWidth="1"/>
    <col min="9979" max="9979" width="1.140625" style="26" customWidth="1"/>
    <col min="9980" max="9980" width="20.5703125" style="26" customWidth="1"/>
    <col min="9981" max="9981" width="17.5703125" style="26" customWidth="1"/>
    <col min="9982" max="9982" width="18.140625" style="26" customWidth="1"/>
    <col min="9983" max="9983" width="17.140625" style="26" customWidth="1"/>
    <col min="9984" max="9984" width="22.42578125" style="26" bestFit="1" customWidth="1"/>
    <col min="9985" max="9985" width="22.140625" style="26" customWidth="1"/>
    <col min="9986" max="9986" width="17.85546875" style="26" customWidth="1"/>
    <col min="9987" max="9987" width="22.42578125" style="26" customWidth="1"/>
    <col min="9988" max="9988" width="10.140625" style="26" bestFit="1" customWidth="1"/>
    <col min="9989" max="9989" width="13.42578125" style="26" customWidth="1"/>
    <col min="9990" max="9990" width="7.42578125" style="26" bestFit="1" customWidth="1"/>
    <col min="9991" max="9991" width="15.42578125" style="26" bestFit="1" customWidth="1"/>
    <col min="9992" max="9992" width="7.42578125" style="26" bestFit="1" customWidth="1"/>
    <col min="9993" max="9993" width="19.5703125" style="26" bestFit="1" customWidth="1"/>
    <col min="9994" max="9994" width="7.42578125" style="26" bestFit="1" customWidth="1"/>
    <col min="9995" max="9995" width="26.85546875" style="26" bestFit="1" customWidth="1"/>
    <col min="9996" max="9996" width="19.85546875" style="26" bestFit="1" customWidth="1"/>
    <col min="9997" max="10231" width="11.42578125" style="26"/>
    <col min="10232" max="10232" width="2.42578125" style="26" customWidth="1"/>
    <col min="10233" max="10233" width="49" style="26" customWidth="1"/>
    <col min="10234" max="10234" width="16.85546875" style="26" customWidth="1"/>
    <col min="10235" max="10235" width="1.140625" style="26" customWidth="1"/>
    <col min="10236" max="10236" width="20.5703125" style="26" customWidth="1"/>
    <col min="10237" max="10237" width="17.5703125" style="26" customWidth="1"/>
    <col min="10238" max="10238" width="18.140625" style="26" customWidth="1"/>
    <col min="10239" max="10239" width="17.140625" style="26" customWidth="1"/>
    <col min="10240" max="10240" width="22.42578125" style="26" bestFit="1" customWidth="1"/>
    <col min="10241" max="10241" width="22.140625" style="26" customWidth="1"/>
    <col min="10242" max="10242" width="17.85546875" style="26" customWidth="1"/>
    <col min="10243" max="10243" width="22.42578125" style="26" customWidth="1"/>
    <col min="10244" max="10244" width="10.140625" style="26" bestFit="1" customWidth="1"/>
    <col min="10245" max="10245" width="13.42578125" style="26" customWidth="1"/>
    <col min="10246" max="10246" width="7.42578125" style="26" bestFit="1" customWidth="1"/>
    <col min="10247" max="10247" width="15.42578125" style="26" bestFit="1" customWidth="1"/>
    <col min="10248" max="10248" width="7.42578125" style="26" bestFit="1" customWidth="1"/>
    <col min="10249" max="10249" width="19.5703125" style="26" bestFit="1" customWidth="1"/>
    <col min="10250" max="10250" width="7.42578125" style="26" bestFit="1" customWidth="1"/>
    <col min="10251" max="10251" width="26.85546875" style="26" bestFit="1" customWidth="1"/>
    <col min="10252" max="10252" width="19.85546875" style="26" bestFit="1" customWidth="1"/>
    <col min="10253" max="10487" width="11.42578125" style="26"/>
    <col min="10488" max="10488" width="2.42578125" style="26" customWidth="1"/>
    <col min="10489" max="10489" width="49" style="26" customWidth="1"/>
    <col min="10490" max="10490" width="16.85546875" style="26" customWidth="1"/>
    <col min="10491" max="10491" width="1.140625" style="26" customWidth="1"/>
    <col min="10492" max="10492" width="20.5703125" style="26" customWidth="1"/>
    <col min="10493" max="10493" width="17.5703125" style="26" customWidth="1"/>
    <col min="10494" max="10494" width="18.140625" style="26" customWidth="1"/>
    <col min="10495" max="10495" width="17.140625" style="26" customWidth="1"/>
    <col min="10496" max="10496" width="22.42578125" style="26" bestFit="1" customWidth="1"/>
    <col min="10497" max="10497" width="22.140625" style="26" customWidth="1"/>
    <col min="10498" max="10498" width="17.85546875" style="26" customWidth="1"/>
    <col min="10499" max="10499" width="22.42578125" style="26" customWidth="1"/>
    <col min="10500" max="10500" width="10.140625" style="26" bestFit="1" customWidth="1"/>
    <col min="10501" max="10501" width="13.42578125" style="26" customWidth="1"/>
    <col min="10502" max="10502" width="7.42578125" style="26" bestFit="1" customWidth="1"/>
    <col min="10503" max="10503" width="15.42578125" style="26" bestFit="1" customWidth="1"/>
    <col min="10504" max="10504" width="7.42578125" style="26" bestFit="1" customWidth="1"/>
    <col min="10505" max="10505" width="19.5703125" style="26" bestFit="1" customWidth="1"/>
    <col min="10506" max="10506" width="7.42578125" style="26" bestFit="1" customWidth="1"/>
    <col min="10507" max="10507" width="26.85546875" style="26" bestFit="1" customWidth="1"/>
    <col min="10508" max="10508" width="19.85546875" style="26" bestFit="1" customWidth="1"/>
    <col min="10509" max="10743" width="11.42578125" style="26"/>
    <col min="10744" max="10744" width="2.42578125" style="26" customWidth="1"/>
    <col min="10745" max="10745" width="49" style="26" customWidth="1"/>
    <col min="10746" max="10746" width="16.85546875" style="26" customWidth="1"/>
    <col min="10747" max="10747" width="1.140625" style="26" customWidth="1"/>
    <col min="10748" max="10748" width="20.5703125" style="26" customWidth="1"/>
    <col min="10749" max="10749" width="17.5703125" style="26" customWidth="1"/>
    <col min="10750" max="10750" width="18.140625" style="26" customWidth="1"/>
    <col min="10751" max="10751" width="17.140625" style="26" customWidth="1"/>
    <col min="10752" max="10752" width="22.42578125" style="26" bestFit="1" customWidth="1"/>
    <col min="10753" max="10753" width="22.140625" style="26" customWidth="1"/>
    <col min="10754" max="10754" width="17.85546875" style="26" customWidth="1"/>
    <col min="10755" max="10755" width="22.42578125" style="26" customWidth="1"/>
    <col min="10756" max="10756" width="10.140625" style="26" bestFit="1" customWidth="1"/>
    <col min="10757" max="10757" width="13.42578125" style="26" customWidth="1"/>
    <col min="10758" max="10758" width="7.42578125" style="26" bestFit="1" customWidth="1"/>
    <col min="10759" max="10759" width="15.42578125" style="26" bestFit="1" customWidth="1"/>
    <col min="10760" max="10760" width="7.42578125" style="26" bestFit="1" customWidth="1"/>
    <col min="10761" max="10761" width="19.5703125" style="26" bestFit="1" customWidth="1"/>
    <col min="10762" max="10762" width="7.42578125" style="26" bestFit="1" customWidth="1"/>
    <col min="10763" max="10763" width="26.85546875" style="26" bestFit="1" customWidth="1"/>
    <col min="10764" max="10764" width="19.85546875" style="26" bestFit="1" customWidth="1"/>
    <col min="10765" max="10999" width="11.42578125" style="26"/>
    <col min="11000" max="11000" width="2.42578125" style="26" customWidth="1"/>
    <col min="11001" max="11001" width="49" style="26" customWidth="1"/>
    <col min="11002" max="11002" width="16.85546875" style="26" customWidth="1"/>
    <col min="11003" max="11003" width="1.140625" style="26" customWidth="1"/>
    <col min="11004" max="11004" width="20.5703125" style="26" customWidth="1"/>
    <col min="11005" max="11005" width="17.5703125" style="26" customWidth="1"/>
    <col min="11006" max="11006" width="18.140625" style="26" customWidth="1"/>
    <col min="11007" max="11007" width="17.140625" style="26" customWidth="1"/>
    <col min="11008" max="11008" width="22.42578125" style="26" bestFit="1" customWidth="1"/>
    <col min="11009" max="11009" width="22.140625" style="26" customWidth="1"/>
    <col min="11010" max="11010" width="17.85546875" style="26" customWidth="1"/>
    <col min="11011" max="11011" width="22.42578125" style="26" customWidth="1"/>
    <col min="11012" max="11012" width="10.140625" style="26" bestFit="1" customWidth="1"/>
    <col min="11013" max="11013" width="13.42578125" style="26" customWidth="1"/>
    <col min="11014" max="11014" width="7.42578125" style="26" bestFit="1" customWidth="1"/>
    <col min="11015" max="11015" width="15.42578125" style="26" bestFit="1" customWidth="1"/>
    <col min="11016" max="11016" width="7.42578125" style="26" bestFit="1" customWidth="1"/>
    <col min="11017" max="11017" width="19.5703125" style="26" bestFit="1" customWidth="1"/>
    <col min="11018" max="11018" width="7.42578125" style="26" bestFit="1" customWidth="1"/>
    <col min="11019" max="11019" width="26.85546875" style="26" bestFit="1" customWidth="1"/>
    <col min="11020" max="11020" width="19.85546875" style="26" bestFit="1" customWidth="1"/>
    <col min="11021" max="11255" width="11.42578125" style="26"/>
    <col min="11256" max="11256" width="2.42578125" style="26" customWidth="1"/>
    <col min="11257" max="11257" width="49" style="26" customWidth="1"/>
    <col min="11258" max="11258" width="16.85546875" style="26" customWidth="1"/>
    <col min="11259" max="11259" width="1.140625" style="26" customWidth="1"/>
    <col min="11260" max="11260" width="20.5703125" style="26" customWidth="1"/>
    <col min="11261" max="11261" width="17.5703125" style="26" customWidth="1"/>
    <col min="11262" max="11262" width="18.140625" style="26" customWidth="1"/>
    <col min="11263" max="11263" width="17.140625" style="26" customWidth="1"/>
    <col min="11264" max="11264" width="22.42578125" style="26" bestFit="1" customWidth="1"/>
    <col min="11265" max="11265" width="22.140625" style="26" customWidth="1"/>
    <col min="11266" max="11266" width="17.85546875" style="26" customWidth="1"/>
    <col min="11267" max="11267" width="22.42578125" style="26" customWidth="1"/>
    <col min="11268" max="11268" width="10.140625" style="26" bestFit="1" customWidth="1"/>
    <col min="11269" max="11269" width="13.42578125" style="26" customWidth="1"/>
    <col min="11270" max="11270" width="7.42578125" style="26" bestFit="1" customWidth="1"/>
    <col min="11271" max="11271" width="15.42578125" style="26" bestFit="1" customWidth="1"/>
    <col min="11272" max="11272" width="7.42578125" style="26" bestFit="1" customWidth="1"/>
    <col min="11273" max="11273" width="19.5703125" style="26" bestFit="1" customWidth="1"/>
    <col min="11274" max="11274" width="7.42578125" style="26" bestFit="1" customWidth="1"/>
    <col min="11275" max="11275" width="26.85546875" style="26" bestFit="1" customWidth="1"/>
    <col min="11276" max="11276" width="19.85546875" style="26" bestFit="1" customWidth="1"/>
    <col min="11277" max="11511" width="11.42578125" style="26"/>
    <col min="11512" max="11512" width="2.42578125" style="26" customWidth="1"/>
    <col min="11513" max="11513" width="49" style="26" customWidth="1"/>
    <col min="11514" max="11514" width="16.85546875" style="26" customWidth="1"/>
    <col min="11515" max="11515" width="1.140625" style="26" customWidth="1"/>
    <col min="11516" max="11516" width="20.5703125" style="26" customWidth="1"/>
    <col min="11517" max="11517" width="17.5703125" style="26" customWidth="1"/>
    <col min="11518" max="11518" width="18.140625" style="26" customWidth="1"/>
    <col min="11519" max="11519" width="17.140625" style="26" customWidth="1"/>
    <col min="11520" max="11520" width="22.42578125" style="26" bestFit="1" customWidth="1"/>
    <col min="11521" max="11521" width="22.140625" style="26" customWidth="1"/>
    <col min="11522" max="11522" width="17.85546875" style="26" customWidth="1"/>
    <col min="11523" max="11523" width="22.42578125" style="26" customWidth="1"/>
    <col min="11524" max="11524" width="10.140625" style="26" bestFit="1" customWidth="1"/>
    <col min="11525" max="11525" width="13.42578125" style="26" customWidth="1"/>
    <col min="11526" max="11526" width="7.42578125" style="26" bestFit="1" customWidth="1"/>
    <col min="11527" max="11527" width="15.42578125" style="26" bestFit="1" customWidth="1"/>
    <col min="11528" max="11528" width="7.42578125" style="26" bestFit="1" customWidth="1"/>
    <col min="11529" max="11529" width="19.5703125" style="26" bestFit="1" customWidth="1"/>
    <col min="11530" max="11530" width="7.42578125" style="26" bestFit="1" customWidth="1"/>
    <col min="11531" max="11531" width="26.85546875" style="26" bestFit="1" customWidth="1"/>
    <col min="11532" max="11532" width="19.85546875" style="26" bestFit="1" customWidth="1"/>
    <col min="11533" max="11767" width="11.42578125" style="26"/>
    <col min="11768" max="11768" width="2.42578125" style="26" customWidth="1"/>
    <col min="11769" max="11769" width="49" style="26" customWidth="1"/>
    <col min="11770" max="11770" width="16.85546875" style="26" customWidth="1"/>
    <col min="11771" max="11771" width="1.140625" style="26" customWidth="1"/>
    <col min="11772" max="11772" width="20.5703125" style="26" customWidth="1"/>
    <col min="11773" max="11773" width="17.5703125" style="26" customWidth="1"/>
    <col min="11774" max="11774" width="18.140625" style="26" customWidth="1"/>
    <col min="11775" max="11775" width="17.140625" style="26" customWidth="1"/>
    <col min="11776" max="11776" width="22.42578125" style="26" bestFit="1" customWidth="1"/>
    <col min="11777" max="11777" width="22.140625" style="26" customWidth="1"/>
    <col min="11778" max="11778" width="17.85546875" style="26" customWidth="1"/>
    <col min="11779" max="11779" width="22.42578125" style="26" customWidth="1"/>
    <col min="11780" max="11780" width="10.140625" style="26" bestFit="1" customWidth="1"/>
    <col min="11781" max="11781" width="13.42578125" style="26" customWidth="1"/>
    <col min="11782" max="11782" width="7.42578125" style="26" bestFit="1" customWidth="1"/>
    <col min="11783" max="11783" width="15.42578125" style="26" bestFit="1" customWidth="1"/>
    <col min="11784" max="11784" width="7.42578125" style="26" bestFit="1" customWidth="1"/>
    <col min="11785" max="11785" width="19.5703125" style="26" bestFit="1" customWidth="1"/>
    <col min="11786" max="11786" width="7.42578125" style="26" bestFit="1" customWidth="1"/>
    <col min="11787" max="11787" width="26.85546875" style="26" bestFit="1" customWidth="1"/>
    <col min="11788" max="11788" width="19.85546875" style="26" bestFit="1" customWidth="1"/>
    <col min="11789" max="12023" width="11.42578125" style="26"/>
    <col min="12024" max="12024" width="2.42578125" style="26" customWidth="1"/>
    <col min="12025" max="12025" width="49" style="26" customWidth="1"/>
    <col min="12026" max="12026" width="16.85546875" style="26" customWidth="1"/>
    <col min="12027" max="12027" width="1.140625" style="26" customWidth="1"/>
    <col min="12028" max="12028" width="20.5703125" style="26" customWidth="1"/>
    <col min="12029" max="12029" width="17.5703125" style="26" customWidth="1"/>
    <col min="12030" max="12030" width="18.140625" style="26" customWidth="1"/>
    <col min="12031" max="12031" width="17.140625" style="26" customWidth="1"/>
    <col min="12032" max="12032" width="22.42578125" style="26" bestFit="1" customWidth="1"/>
    <col min="12033" max="12033" width="22.140625" style="26" customWidth="1"/>
    <col min="12034" max="12034" width="17.85546875" style="26" customWidth="1"/>
    <col min="12035" max="12035" width="22.42578125" style="26" customWidth="1"/>
    <col min="12036" max="12036" width="10.140625" style="26" bestFit="1" customWidth="1"/>
    <col min="12037" max="12037" width="13.42578125" style="26" customWidth="1"/>
    <col min="12038" max="12038" width="7.42578125" style="26" bestFit="1" customWidth="1"/>
    <col min="12039" max="12039" width="15.42578125" style="26" bestFit="1" customWidth="1"/>
    <col min="12040" max="12040" width="7.42578125" style="26" bestFit="1" customWidth="1"/>
    <col min="12041" max="12041" width="19.5703125" style="26" bestFit="1" customWidth="1"/>
    <col min="12042" max="12042" width="7.42578125" style="26" bestFit="1" customWidth="1"/>
    <col min="12043" max="12043" width="26.85546875" style="26" bestFit="1" customWidth="1"/>
    <col min="12044" max="12044" width="19.85546875" style="26" bestFit="1" customWidth="1"/>
    <col min="12045" max="12279" width="11.42578125" style="26"/>
    <col min="12280" max="12280" width="2.42578125" style="26" customWidth="1"/>
    <col min="12281" max="12281" width="49" style="26" customWidth="1"/>
    <col min="12282" max="12282" width="16.85546875" style="26" customWidth="1"/>
    <col min="12283" max="12283" width="1.140625" style="26" customWidth="1"/>
    <col min="12284" max="12284" width="20.5703125" style="26" customWidth="1"/>
    <col min="12285" max="12285" width="17.5703125" style="26" customWidth="1"/>
    <col min="12286" max="12286" width="18.140625" style="26" customWidth="1"/>
    <col min="12287" max="12287" width="17.140625" style="26" customWidth="1"/>
    <col min="12288" max="12288" width="22.42578125" style="26" bestFit="1" customWidth="1"/>
    <col min="12289" max="12289" width="22.140625" style="26" customWidth="1"/>
    <col min="12290" max="12290" width="17.85546875" style="26" customWidth="1"/>
    <col min="12291" max="12291" width="22.42578125" style="26" customWidth="1"/>
    <col min="12292" max="12292" width="10.140625" style="26" bestFit="1" customWidth="1"/>
    <col min="12293" max="12293" width="13.42578125" style="26" customWidth="1"/>
    <col min="12294" max="12294" width="7.42578125" style="26" bestFit="1" customWidth="1"/>
    <col min="12295" max="12295" width="15.42578125" style="26" bestFit="1" customWidth="1"/>
    <col min="12296" max="12296" width="7.42578125" style="26" bestFit="1" customWidth="1"/>
    <col min="12297" max="12297" width="19.5703125" style="26" bestFit="1" customWidth="1"/>
    <col min="12298" max="12298" width="7.42578125" style="26" bestFit="1" customWidth="1"/>
    <col min="12299" max="12299" width="26.85546875" style="26" bestFit="1" customWidth="1"/>
    <col min="12300" max="12300" width="19.85546875" style="26" bestFit="1" customWidth="1"/>
    <col min="12301" max="12535" width="11.42578125" style="26"/>
    <col min="12536" max="12536" width="2.42578125" style="26" customWidth="1"/>
    <col min="12537" max="12537" width="49" style="26" customWidth="1"/>
    <col min="12538" max="12538" width="16.85546875" style="26" customWidth="1"/>
    <col min="12539" max="12539" width="1.140625" style="26" customWidth="1"/>
    <col min="12540" max="12540" width="20.5703125" style="26" customWidth="1"/>
    <col min="12541" max="12541" width="17.5703125" style="26" customWidth="1"/>
    <col min="12542" max="12542" width="18.140625" style="26" customWidth="1"/>
    <col min="12543" max="12543" width="17.140625" style="26" customWidth="1"/>
    <col min="12544" max="12544" width="22.42578125" style="26" bestFit="1" customWidth="1"/>
    <col min="12545" max="12545" width="22.140625" style="26" customWidth="1"/>
    <col min="12546" max="12546" width="17.85546875" style="26" customWidth="1"/>
    <col min="12547" max="12547" width="22.42578125" style="26" customWidth="1"/>
    <col min="12548" max="12548" width="10.140625" style="26" bestFit="1" customWidth="1"/>
    <col min="12549" max="12549" width="13.42578125" style="26" customWidth="1"/>
    <col min="12550" max="12550" width="7.42578125" style="26" bestFit="1" customWidth="1"/>
    <col min="12551" max="12551" width="15.42578125" style="26" bestFit="1" customWidth="1"/>
    <col min="12552" max="12552" width="7.42578125" style="26" bestFit="1" customWidth="1"/>
    <col min="12553" max="12553" width="19.5703125" style="26" bestFit="1" customWidth="1"/>
    <col min="12554" max="12554" width="7.42578125" style="26" bestFit="1" customWidth="1"/>
    <col min="12555" max="12555" width="26.85546875" style="26" bestFit="1" customWidth="1"/>
    <col min="12556" max="12556" width="19.85546875" style="26" bestFit="1" customWidth="1"/>
    <col min="12557" max="12791" width="11.42578125" style="26"/>
    <col min="12792" max="12792" width="2.42578125" style="26" customWidth="1"/>
    <col min="12793" max="12793" width="49" style="26" customWidth="1"/>
    <col min="12794" max="12794" width="16.85546875" style="26" customWidth="1"/>
    <col min="12795" max="12795" width="1.140625" style="26" customWidth="1"/>
    <col min="12796" max="12796" width="20.5703125" style="26" customWidth="1"/>
    <col min="12797" max="12797" width="17.5703125" style="26" customWidth="1"/>
    <col min="12798" max="12798" width="18.140625" style="26" customWidth="1"/>
    <col min="12799" max="12799" width="17.140625" style="26" customWidth="1"/>
    <col min="12800" max="12800" width="22.42578125" style="26" bestFit="1" customWidth="1"/>
    <col min="12801" max="12801" width="22.140625" style="26" customWidth="1"/>
    <col min="12802" max="12802" width="17.85546875" style="26" customWidth="1"/>
    <col min="12803" max="12803" width="22.42578125" style="26" customWidth="1"/>
    <col min="12804" max="12804" width="10.140625" style="26" bestFit="1" customWidth="1"/>
    <col min="12805" max="12805" width="13.42578125" style="26" customWidth="1"/>
    <col min="12806" max="12806" width="7.42578125" style="26" bestFit="1" customWidth="1"/>
    <col min="12807" max="12807" width="15.42578125" style="26" bestFit="1" customWidth="1"/>
    <col min="12808" max="12808" width="7.42578125" style="26" bestFit="1" customWidth="1"/>
    <col min="12809" max="12809" width="19.5703125" style="26" bestFit="1" customWidth="1"/>
    <col min="12810" max="12810" width="7.42578125" style="26" bestFit="1" customWidth="1"/>
    <col min="12811" max="12811" width="26.85546875" style="26" bestFit="1" customWidth="1"/>
    <col min="12812" max="12812" width="19.85546875" style="26" bestFit="1" customWidth="1"/>
    <col min="12813" max="13047" width="11.42578125" style="26"/>
    <col min="13048" max="13048" width="2.42578125" style="26" customWidth="1"/>
    <col min="13049" max="13049" width="49" style="26" customWidth="1"/>
    <col min="13050" max="13050" width="16.85546875" style="26" customWidth="1"/>
    <col min="13051" max="13051" width="1.140625" style="26" customWidth="1"/>
    <col min="13052" max="13052" width="20.5703125" style="26" customWidth="1"/>
    <col min="13053" max="13053" width="17.5703125" style="26" customWidth="1"/>
    <col min="13054" max="13054" width="18.140625" style="26" customWidth="1"/>
    <col min="13055" max="13055" width="17.140625" style="26" customWidth="1"/>
    <col min="13056" max="13056" width="22.42578125" style="26" bestFit="1" customWidth="1"/>
    <col min="13057" max="13057" width="22.140625" style="26" customWidth="1"/>
    <col min="13058" max="13058" width="17.85546875" style="26" customWidth="1"/>
    <col min="13059" max="13059" width="22.42578125" style="26" customWidth="1"/>
    <col min="13060" max="13060" width="10.140625" style="26" bestFit="1" customWidth="1"/>
    <col min="13061" max="13061" width="13.42578125" style="26" customWidth="1"/>
    <col min="13062" max="13062" width="7.42578125" style="26" bestFit="1" customWidth="1"/>
    <col min="13063" max="13063" width="15.42578125" style="26" bestFit="1" customWidth="1"/>
    <col min="13064" max="13064" width="7.42578125" style="26" bestFit="1" customWidth="1"/>
    <col min="13065" max="13065" width="19.5703125" style="26" bestFit="1" customWidth="1"/>
    <col min="13066" max="13066" width="7.42578125" style="26" bestFit="1" customWidth="1"/>
    <col min="13067" max="13067" width="26.85546875" style="26" bestFit="1" customWidth="1"/>
    <col min="13068" max="13068" width="19.85546875" style="26" bestFit="1" customWidth="1"/>
    <col min="13069" max="13303" width="11.42578125" style="26"/>
    <col min="13304" max="13304" width="2.42578125" style="26" customWidth="1"/>
    <col min="13305" max="13305" width="49" style="26" customWidth="1"/>
    <col min="13306" max="13306" width="16.85546875" style="26" customWidth="1"/>
    <col min="13307" max="13307" width="1.140625" style="26" customWidth="1"/>
    <col min="13308" max="13308" width="20.5703125" style="26" customWidth="1"/>
    <col min="13309" max="13309" width="17.5703125" style="26" customWidth="1"/>
    <col min="13310" max="13310" width="18.140625" style="26" customWidth="1"/>
    <col min="13311" max="13311" width="17.140625" style="26" customWidth="1"/>
    <col min="13312" max="13312" width="22.42578125" style="26" bestFit="1" customWidth="1"/>
    <col min="13313" max="13313" width="22.140625" style="26" customWidth="1"/>
    <col min="13314" max="13314" width="17.85546875" style="26" customWidth="1"/>
    <col min="13315" max="13315" width="22.42578125" style="26" customWidth="1"/>
    <col min="13316" max="13316" width="10.140625" style="26" bestFit="1" customWidth="1"/>
    <col min="13317" max="13317" width="13.42578125" style="26" customWidth="1"/>
    <col min="13318" max="13318" width="7.42578125" style="26" bestFit="1" customWidth="1"/>
    <col min="13319" max="13319" width="15.42578125" style="26" bestFit="1" customWidth="1"/>
    <col min="13320" max="13320" width="7.42578125" style="26" bestFit="1" customWidth="1"/>
    <col min="13321" max="13321" width="19.5703125" style="26" bestFit="1" customWidth="1"/>
    <col min="13322" max="13322" width="7.42578125" style="26" bestFit="1" customWidth="1"/>
    <col min="13323" max="13323" width="26.85546875" style="26" bestFit="1" customWidth="1"/>
    <col min="13324" max="13324" width="19.85546875" style="26" bestFit="1" customWidth="1"/>
    <col min="13325" max="13559" width="11.42578125" style="26"/>
    <col min="13560" max="13560" width="2.42578125" style="26" customWidth="1"/>
    <col min="13561" max="13561" width="49" style="26" customWidth="1"/>
    <col min="13562" max="13562" width="16.85546875" style="26" customWidth="1"/>
    <col min="13563" max="13563" width="1.140625" style="26" customWidth="1"/>
    <col min="13564" max="13564" width="20.5703125" style="26" customWidth="1"/>
    <col min="13565" max="13565" width="17.5703125" style="26" customWidth="1"/>
    <col min="13566" max="13566" width="18.140625" style="26" customWidth="1"/>
    <col min="13567" max="13567" width="17.140625" style="26" customWidth="1"/>
    <col min="13568" max="13568" width="22.42578125" style="26" bestFit="1" customWidth="1"/>
    <col min="13569" max="13569" width="22.140625" style="26" customWidth="1"/>
    <col min="13570" max="13570" width="17.85546875" style="26" customWidth="1"/>
    <col min="13571" max="13571" width="22.42578125" style="26" customWidth="1"/>
    <col min="13572" max="13572" width="10.140625" style="26" bestFit="1" customWidth="1"/>
    <col min="13573" max="13573" width="13.42578125" style="26" customWidth="1"/>
    <col min="13574" max="13574" width="7.42578125" style="26" bestFit="1" customWidth="1"/>
    <col min="13575" max="13575" width="15.42578125" style="26" bestFit="1" customWidth="1"/>
    <col min="13576" max="13576" width="7.42578125" style="26" bestFit="1" customWidth="1"/>
    <col min="13577" max="13577" width="19.5703125" style="26" bestFit="1" customWidth="1"/>
    <col min="13578" max="13578" width="7.42578125" style="26" bestFit="1" customWidth="1"/>
    <col min="13579" max="13579" width="26.85546875" style="26" bestFit="1" customWidth="1"/>
    <col min="13580" max="13580" width="19.85546875" style="26" bestFit="1" customWidth="1"/>
    <col min="13581" max="13815" width="11.42578125" style="26"/>
    <col min="13816" max="13816" width="2.42578125" style="26" customWidth="1"/>
    <col min="13817" max="13817" width="49" style="26" customWidth="1"/>
    <col min="13818" max="13818" width="16.85546875" style="26" customWidth="1"/>
    <col min="13819" max="13819" width="1.140625" style="26" customWidth="1"/>
    <col min="13820" max="13820" width="20.5703125" style="26" customWidth="1"/>
    <col min="13821" max="13821" width="17.5703125" style="26" customWidth="1"/>
    <col min="13822" max="13822" width="18.140625" style="26" customWidth="1"/>
    <col min="13823" max="13823" width="17.140625" style="26" customWidth="1"/>
    <col min="13824" max="13824" width="22.42578125" style="26" bestFit="1" customWidth="1"/>
    <col min="13825" max="13825" width="22.140625" style="26" customWidth="1"/>
    <col min="13826" max="13826" width="17.85546875" style="26" customWidth="1"/>
    <col min="13827" max="13827" width="22.42578125" style="26" customWidth="1"/>
    <col min="13828" max="13828" width="10.140625" style="26" bestFit="1" customWidth="1"/>
    <col min="13829" max="13829" width="13.42578125" style="26" customWidth="1"/>
    <col min="13830" max="13830" width="7.42578125" style="26" bestFit="1" customWidth="1"/>
    <col min="13831" max="13831" width="15.42578125" style="26" bestFit="1" customWidth="1"/>
    <col min="13832" max="13832" width="7.42578125" style="26" bestFit="1" customWidth="1"/>
    <col min="13833" max="13833" width="19.5703125" style="26" bestFit="1" customWidth="1"/>
    <col min="13834" max="13834" width="7.42578125" style="26" bestFit="1" customWidth="1"/>
    <col min="13835" max="13835" width="26.85546875" style="26" bestFit="1" customWidth="1"/>
    <col min="13836" max="13836" width="19.85546875" style="26" bestFit="1" customWidth="1"/>
    <col min="13837" max="14071" width="11.42578125" style="26"/>
    <col min="14072" max="14072" width="2.42578125" style="26" customWidth="1"/>
    <col min="14073" max="14073" width="49" style="26" customWidth="1"/>
    <col min="14074" max="14074" width="16.85546875" style="26" customWidth="1"/>
    <col min="14075" max="14075" width="1.140625" style="26" customWidth="1"/>
    <col min="14076" max="14076" width="20.5703125" style="26" customWidth="1"/>
    <col min="14077" max="14077" width="17.5703125" style="26" customWidth="1"/>
    <col min="14078" max="14078" width="18.140625" style="26" customWidth="1"/>
    <col min="14079" max="14079" width="17.140625" style="26" customWidth="1"/>
    <col min="14080" max="14080" width="22.42578125" style="26" bestFit="1" customWidth="1"/>
    <col min="14081" max="14081" width="22.140625" style="26" customWidth="1"/>
    <col min="14082" max="14082" width="17.85546875" style="26" customWidth="1"/>
    <col min="14083" max="14083" width="22.42578125" style="26" customWidth="1"/>
    <col min="14084" max="14084" width="10.140625" style="26" bestFit="1" customWidth="1"/>
    <col min="14085" max="14085" width="13.42578125" style="26" customWidth="1"/>
    <col min="14086" max="14086" width="7.42578125" style="26" bestFit="1" customWidth="1"/>
    <col min="14087" max="14087" width="15.42578125" style="26" bestFit="1" customWidth="1"/>
    <col min="14088" max="14088" width="7.42578125" style="26" bestFit="1" customWidth="1"/>
    <col min="14089" max="14089" width="19.5703125" style="26" bestFit="1" customWidth="1"/>
    <col min="14090" max="14090" width="7.42578125" style="26" bestFit="1" customWidth="1"/>
    <col min="14091" max="14091" width="26.85546875" style="26" bestFit="1" customWidth="1"/>
    <col min="14092" max="14092" width="19.85546875" style="26" bestFit="1" customWidth="1"/>
    <col min="14093" max="14327" width="11.42578125" style="26"/>
    <col min="14328" max="14328" width="2.42578125" style="26" customWidth="1"/>
    <col min="14329" max="14329" width="49" style="26" customWidth="1"/>
    <col min="14330" max="14330" width="16.85546875" style="26" customWidth="1"/>
    <col min="14331" max="14331" width="1.140625" style="26" customWidth="1"/>
    <col min="14332" max="14332" width="20.5703125" style="26" customWidth="1"/>
    <col min="14333" max="14333" width="17.5703125" style="26" customWidth="1"/>
    <col min="14334" max="14334" width="18.140625" style="26" customWidth="1"/>
    <col min="14335" max="14335" width="17.140625" style="26" customWidth="1"/>
    <col min="14336" max="14336" width="22.42578125" style="26" bestFit="1" customWidth="1"/>
    <col min="14337" max="14337" width="22.140625" style="26" customWidth="1"/>
    <col min="14338" max="14338" width="17.85546875" style="26" customWidth="1"/>
    <col min="14339" max="14339" width="22.42578125" style="26" customWidth="1"/>
    <col min="14340" max="14340" width="10.140625" style="26" bestFit="1" customWidth="1"/>
    <col min="14341" max="14341" width="13.42578125" style="26" customWidth="1"/>
    <col min="14342" max="14342" width="7.42578125" style="26" bestFit="1" customWidth="1"/>
    <col min="14343" max="14343" width="15.42578125" style="26" bestFit="1" customWidth="1"/>
    <col min="14344" max="14344" width="7.42578125" style="26" bestFit="1" customWidth="1"/>
    <col min="14345" max="14345" width="19.5703125" style="26" bestFit="1" customWidth="1"/>
    <col min="14346" max="14346" width="7.42578125" style="26" bestFit="1" customWidth="1"/>
    <col min="14347" max="14347" width="26.85546875" style="26" bestFit="1" customWidth="1"/>
    <col min="14348" max="14348" width="19.85546875" style="26" bestFit="1" customWidth="1"/>
    <col min="14349" max="14583" width="11.42578125" style="26"/>
    <col min="14584" max="14584" width="2.42578125" style="26" customWidth="1"/>
    <col min="14585" max="14585" width="49" style="26" customWidth="1"/>
    <col min="14586" max="14586" width="16.85546875" style="26" customWidth="1"/>
    <col min="14587" max="14587" width="1.140625" style="26" customWidth="1"/>
    <col min="14588" max="14588" width="20.5703125" style="26" customWidth="1"/>
    <col min="14589" max="14589" width="17.5703125" style="26" customWidth="1"/>
    <col min="14590" max="14590" width="18.140625" style="26" customWidth="1"/>
    <col min="14591" max="14591" width="17.140625" style="26" customWidth="1"/>
    <col min="14592" max="14592" width="22.42578125" style="26" bestFit="1" customWidth="1"/>
    <col min="14593" max="14593" width="22.140625" style="26" customWidth="1"/>
    <col min="14594" max="14594" width="17.85546875" style="26" customWidth="1"/>
    <col min="14595" max="14595" width="22.42578125" style="26" customWidth="1"/>
    <col min="14596" max="14596" width="10.140625" style="26" bestFit="1" customWidth="1"/>
    <col min="14597" max="14597" width="13.42578125" style="26" customWidth="1"/>
    <col min="14598" max="14598" width="7.42578125" style="26" bestFit="1" customWidth="1"/>
    <col min="14599" max="14599" width="15.42578125" style="26" bestFit="1" customWidth="1"/>
    <col min="14600" max="14600" width="7.42578125" style="26" bestFit="1" customWidth="1"/>
    <col min="14601" max="14601" width="19.5703125" style="26" bestFit="1" customWidth="1"/>
    <col min="14602" max="14602" width="7.42578125" style="26" bestFit="1" customWidth="1"/>
    <col min="14603" max="14603" width="26.85546875" style="26" bestFit="1" customWidth="1"/>
    <col min="14604" max="14604" width="19.85546875" style="26" bestFit="1" customWidth="1"/>
    <col min="14605" max="14839" width="11.42578125" style="26"/>
    <col min="14840" max="14840" width="2.42578125" style="26" customWidth="1"/>
    <col min="14841" max="14841" width="49" style="26" customWidth="1"/>
    <col min="14842" max="14842" width="16.85546875" style="26" customWidth="1"/>
    <col min="14843" max="14843" width="1.140625" style="26" customWidth="1"/>
    <col min="14844" max="14844" width="20.5703125" style="26" customWidth="1"/>
    <col min="14845" max="14845" width="17.5703125" style="26" customWidth="1"/>
    <col min="14846" max="14846" width="18.140625" style="26" customWidth="1"/>
    <col min="14847" max="14847" width="17.140625" style="26" customWidth="1"/>
    <col min="14848" max="14848" width="22.42578125" style="26" bestFit="1" customWidth="1"/>
    <col min="14849" max="14849" width="22.140625" style="26" customWidth="1"/>
    <col min="14850" max="14850" width="17.85546875" style="26" customWidth="1"/>
    <col min="14851" max="14851" width="22.42578125" style="26" customWidth="1"/>
    <col min="14852" max="14852" width="10.140625" style="26" bestFit="1" customWidth="1"/>
    <col min="14853" max="14853" width="13.42578125" style="26" customWidth="1"/>
    <col min="14854" max="14854" width="7.42578125" style="26" bestFit="1" customWidth="1"/>
    <col min="14855" max="14855" width="15.42578125" style="26" bestFit="1" customWidth="1"/>
    <col min="14856" max="14856" width="7.42578125" style="26" bestFit="1" customWidth="1"/>
    <col min="14857" max="14857" width="19.5703125" style="26" bestFit="1" customWidth="1"/>
    <col min="14858" max="14858" width="7.42578125" style="26" bestFit="1" customWidth="1"/>
    <col min="14859" max="14859" width="26.85546875" style="26" bestFit="1" customWidth="1"/>
    <col min="14860" max="14860" width="19.85546875" style="26" bestFit="1" customWidth="1"/>
    <col min="14861" max="15095" width="11.42578125" style="26"/>
    <col min="15096" max="15096" width="2.42578125" style="26" customWidth="1"/>
    <col min="15097" max="15097" width="49" style="26" customWidth="1"/>
    <col min="15098" max="15098" width="16.85546875" style="26" customWidth="1"/>
    <col min="15099" max="15099" width="1.140625" style="26" customWidth="1"/>
    <col min="15100" max="15100" width="20.5703125" style="26" customWidth="1"/>
    <col min="15101" max="15101" width="17.5703125" style="26" customWidth="1"/>
    <col min="15102" max="15102" width="18.140625" style="26" customWidth="1"/>
    <col min="15103" max="15103" width="17.140625" style="26" customWidth="1"/>
    <col min="15104" max="15104" width="22.42578125" style="26" bestFit="1" customWidth="1"/>
    <col min="15105" max="15105" width="22.140625" style="26" customWidth="1"/>
    <col min="15106" max="15106" width="17.85546875" style="26" customWidth="1"/>
    <col min="15107" max="15107" width="22.42578125" style="26" customWidth="1"/>
    <col min="15108" max="15108" width="10.140625" style="26" bestFit="1" customWidth="1"/>
    <col min="15109" max="15109" width="13.42578125" style="26" customWidth="1"/>
    <col min="15110" max="15110" width="7.42578125" style="26" bestFit="1" customWidth="1"/>
    <col min="15111" max="15111" width="15.42578125" style="26" bestFit="1" customWidth="1"/>
    <col min="15112" max="15112" width="7.42578125" style="26" bestFit="1" customWidth="1"/>
    <col min="15113" max="15113" width="19.5703125" style="26" bestFit="1" customWidth="1"/>
    <col min="15114" max="15114" width="7.42578125" style="26" bestFit="1" customWidth="1"/>
    <col min="15115" max="15115" width="26.85546875" style="26" bestFit="1" customWidth="1"/>
    <col min="15116" max="15116" width="19.85546875" style="26" bestFit="1" customWidth="1"/>
    <col min="15117" max="15351" width="11.42578125" style="26"/>
    <col min="15352" max="15352" width="2.42578125" style="26" customWidth="1"/>
    <col min="15353" max="15353" width="49" style="26" customWidth="1"/>
    <col min="15354" max="15354" width="16.85546875" style="26" customWidth="1"/>
    <col min="15355" max="15355" width="1.140625" style="26" customWidth="1"/>
    <col min="15356" max="15356" width="20.5703125" style="26" customWidth="1"/>
    <col min="15357" max="15357" width="17.5703125" style="26" customWidth="1"/>
    <col min="15358" max="15358" width="18.140625" style="26" customWidth="1"/>
    <col min="15359" max="15359" width="17.140625" style="26" customWidth="1"/>
    <col min="15360" max="15360" width="22.42578125" style="26" bestFit="1" customWidth="1"/>
    <col min="15361" max="15361" width="22.140625" style="26" customWidth="1"/>
    <col min="15362" max="15362" width="17.85546875" style="26" customWidth="1"/>
    <col min="15363" max="15363" width="22.42578125" style="26" customWidth="1"/>
    <col min="15364" max="15364" width="10.140625" style="26" bestFit="1" customWidth="1"/>
    <col min="15365" max="15365" width="13.42578125" style="26" customWidth="1"/>
    <col min="15366" max="15366" width="7.42578125" style="26" bestFit="1" customWidth="1"/>
    <col min="15367" max="15367" width="15.42578125" style="26" bestFit="1" customWidth="1"/>
    <col min="15368" max="15368" width="7.42578125" style="26" bestFit="1" customWidth="1"/>
    <col min="15369" max="15369" width="19.5703125" style="26" bestFit="1" customWidth="1"/>
    <col min="15370" max="15370" width="7.42578125" style="26" bestFit="1" customWidth="1"/>
    <col min="15371" max="15371" width="26.85546875" style="26" bestFit="1" customWidth="1"/>
    <col min="15372" max="15372" width="19.85546875" style="26" bestFit="1" customWidth="1"/>
    <col min="15373" max="15607" width="11.42578125" style="26"/>
    <col min="15608" max="15608" width="2.42578125" style="26" customWidth="1"/>
    <col min="15609" max="15609" width="49" style="26" customWidth="1"/>
    <col min="15610" max="15610" width="16.85546875" style="26" customWidth="1"/>
    <col min="15611" max="15611" width="1.140625" style="26" customWidth="1"/>
    <col min="15612" max="15612" width="20.5703125" style="26" customWidth="1"/>
    <col min="15613" max="15613" width="17.5703125" style="26" customWidth="1"/>
    <col min="15614" max="15614" width="18.140625" style="26" customWidth="1"/>
    <col min="15615" max="15615" width="17.140625" style="26" customWidth="1"/>
    <col min="15616" max="15616" width="22.42578125" style="26" bestFit="1" customWidth="1"/>
    <col min="15617" max="15617" width="22.140625" style="26" customWidth="1"/>
    <col min="15618" max="15618" width="17.85546875" style="26" customWidth="1"/>
    <col min="15619" max="15619" width="22.42578125" style="26" customWidth="1"/>
    <col min="15620" max="15620" width="10.140625" style="26" bestFit="1" customWidth="1"/>
    <col min="15621" max="15621" width="13.42578125" style="26" customWidth="1"/>
    <col min="15622" max="15622" width="7.42578125" style="26" bestFit="1" customWidth="1"/>
    <col min="15623" max="15623" width="15.42578125" style="26" bestFit="1" customWidth="1"/>
    <col min="15624" max="15624" width="7.42578125" style="26" bestFit="1" customWidth="1"/>
    <col min="15625" max="15625" width="19.5703125" style="26" bestFit="1" customWidth="1"/>
    <col min="15626" max="15626" width="7.42578125" style="26" bestFit="1" customWidth="1"/>
    <col min="15627" max="15627" width="26.85546875" style="26" bestFit="1" customWidth="1"/>
    <col min="15628" max="15628" width="19.85546875" style="26" bestFit="1" customWidth="1"/>
    <col min="15629" max="15863" width="11.42578125" style="26"/>
    <col min="15864" max="15864" width="2.42578125" style="26" customWidth="1"/>
    <col min="15865" max="15865" width="49" style="26" customWidth="1"/>
    <col min="15866" max="15866" width="16.85546875" style="26" customWidth="1"/>
    <col min="15867" max="15867" width="1.140625" style="26" customWidth="1"/>
    <col min="15868" max="15868" width="20.5703125" style="26" customWidth="1"/>
    <col min="15869" max="15869" width="17.5703125" style="26" customWidth="1"/>
    <col min="15870" max="15870" width="18.140625" style="26" customWidth="1"/>
    <col min="15871" max="15871" width="17.140625" style="26" customWidth="1"/>
    <col min="15872" max="15872" width="22.42578125" style="26" bestFit="1" customWidth="1"/>
    <col min="15873" max="15873" width="22.140625" style="26" customWidth="1"/>
    <col min="15874" max="15874" width="17.85546875" style="26" customWidth="1"/>
    <col min="15875" max="15875" width="22.42578125" style="26" customWidth="1"/>
    <col min="15876" max="15876" width="10.140625" style="26" bestFit="1" customWidth="1"/>
    <col min="15877" max="15877" width="13.42578125" style="26" customWidth="1"/>
    <col min="15878" max="15878" width="7.42578125" style="26" bestFit="1" customWidth="1"/>
    <col min="15879" max="15879" width="15.42578125" style="26" bestFit="1" customWidth="1"/>
    <col min="15880" max="15880" width="7.42578125" style="26" bestFit="1" customWidth="1"/>
    <col min="15881" max="15881" width="19.5703125" style="26" bestFit="1" customWidth="1"/>
    <col min="15882" max="15882" width="7.42578125" style="26" bestFit="1" customWidth="1"/>
    <col min="15883" max="15883" width="26.85546875" style="26" bestFit="1" customWidth="1"/>
    <col min="15884" max="15884" width="19.85546875" style="26" bestFit="1" customWidth="1"/>
    <col min="15885" max="16119" width="11.42578125" style="26"/>
    <col min="16120" max="16120" width="2.42578125" style="26" customWidth="1"/>
    <col min="16121" max="16121" width="49" style="26" customWidth="1"/>
    <col min="16122" max="16122" width="16.85546875" style="26" customWidth="1"/>
    <col min="16123" max="16123" width="1.140625" style="26" customWidth="1"/>
    <col min="16124" max="16124" width="20.5703125" style="26" customWidth="1"/>
    <col min="16125" max="16125" width="17.5703125" style="26" customWidth="1"/>
    <col min="16126" max="16126" width="18.140625" style="26" customWidth="1"/>
    <col min="16127" max="16127" width="17.140625" style="26" customWidth="1"/>
    <col min="16128" max="16128" width="22.42578125" style="26" bestFit="1" customWidth="1"/>
    <col min="16129" max="16129" width="22.140625" style="26" customWidth="1"/>
    <col min="16130" max="16130" width="17.85546875" style="26" customWidth="1"/>
    <col min="16131" max="16131" width="22.42578125" style="26" customWidth="1"/>
    <col min="16132" max="16132" width="10.140625" style="26" bestFit="1" customWidth="1"/>
    <col min="16133" max="16133" width="13.42578125" style="26" customWidth="1"/>
    <col min="16134" max="16134" width="7.42578125" style="26" bestFit="1" customWidth="1"/>
    <col min="16135" max="16135" width="15.42578125" style="26" bestFit="1" customWidth="1"/>
    <col min="16136" max="16136" width="7.42578125" style="26" bestFit="1" customWidth="1"/>
    <col min="16137" max="16137" width="19.5703125" style="26" bestFit="1" customWidth="1"/>
    <col min="16138" max="16138" width="7.42578125" style="26" bestFit="1" customWidth="1"/>
    <col min="16139" max="16139" width="26.85546875" style="26" bestFit="1" customWidth="1"/>
    <col min="16140" max="16140" width="19.85546875" style="26" bestFit="1" customWidth="1"/>
    <col min="16141" max="16384" width="11.42578125" style="26"/>
  </cols>
  <sheetData>
    <row r="3" spans="3:14" s="27" customFormat="1" ht="13.5" customHeight="1" x14ac:dyDescent="0.2">
      <c r="C3" s="148"/>
      <c r="D3" s="148"/>
      <c r="E3" s="148"/>
      <c r="F3" s="148"/>
      <c r="N3" s="180" t="s">
        <v>22</v>
      </c>
    </row>
    <row r="4" spans="3:14" s="27" customFormat="1" ht="15" x14ac:dyDescent="0.2">
      <c r="D4" s="349"/>
      <c r="F4" s="144"/>
      <c r="N4" s="180" t="s">
        <v>20</v>
      </c>
    </row>
    <row r="5" spans="3:14" s="27" customFormat="1" ht="15" x14ac:dyDescent="0.2">
      <c r="D5" s="349"/>
      <c r="F5" s="144"/>
    </row>
    <row r="6" spans="3:14" s="27" customFormat="1" ht="15" x14ac:dyDescent="0.2">
      <c r="D6" s="349"/>
      <c r="F6" s="144"/>
    </row>
    <row r="7" spans="3:14" s="27" customFormat="1" ht="13.5" customHeight="1" x14ac:dyDescent="0.2">
      <c r="F7" s="148"/>
    </row>
    <row r="8" spans="3:14" ht="15.75" x14ac:dyDescent="0.2">
      <c r="C8" s="1141" t="s">
        <v>750</v>
      </c>
      <c r="D8" s="1142"/>
      <c r="E8" s="1142"/>
      <c r="F8" s="1142"/>
      <c r="G8" s="351"/>
      <c r="H8" s="31"/>
    </row>
    <row r="9" spans="3:14" ht="9.75" customHeight="1" x14ac:dyDescent="0.2">
      <c r="E9" s="27"/>
      <c r="G9" s="31"/>
      <c r="L9" s="35"/>
    </row>
    <row r="10" spans="3:14" s="38" customFormat="1" x14ac:dyDescent="0.2">
      <c r="C10" s="1294" t="s">
        <v>751</v>
      </c>
      <c r="D10" s="1295"/>
      <c r="E10" s="27"/>
      <c r="F10" s="645"/>
    </row>
    <row r="11" spans="3:14" s="38" customFormat="1" x14ac:dyDescent="0.2">
      <c r="E11" s="27"/>
      <c r="F11" s="39"/>
    </row>
    <row r="12" spans="3:14" ht="31.5" customHeight="1" x14ac:dyDescent="0.2">
      <c r="C12" s="1292" t="s">
        <v>752</v>
      </c>
      <c r="D12" s="1293"/>
      <c r="E12" s="27"/>
      <c r="F12" s="178" t="s">
        <v>20</v>
      </c>
      <c r="G12" s="43"/>
      <c r="H12" s="41"/>
    </row>
    <row r="13" spans="3:14" ht="7.5" customHeight="1" x14ac:dyDescent="0.2"/>
    <row r="14" spans="3:14" ht="31.5" customHeight="1" x14ac:dyDescent="0.2">
      <c r="C14" s="1292" t="s">
        <v>753</v>
      </c>
      <c r="D14" s="1293"/>
      <c r="E14" s="27"/>
      <c r="F14" s="178" t="s">
        <v>20</v>
      </c>
      <c r="G14" s="43"/>
      <c r="H14" s="41"/>
    </row>
    <row r="15" spans="3:14" ht="7.5" customHeight="1" x14ac:dyDescent="0.2"/>
    <row r="16" spans="3:14" ht="25.5" customHeight="1" x14ac:dyDescent="0.2">
      <c r="C16" s="1292" t="s">
        <v>754</v>
      </c>
      <c r="D16" s="1293"/>
      <c r="E16" s="27"/>
      <c r="F16" s="178" t="s">
        <v>20</v>
      </c>
      <c r="G16" s="43"/>
      <c r="H16" s="41"/>
    </row>
    <row r="17" spans="3:13" ht="7.5" customHeight="1" x14ac:dyDescent="0.2"/>
    <row r="18" spans="3:13" ht="25.5" customHeight="1" x14ac:dyDescent="0.2">
      <c r="C18" s="1292" t="s">
        <v>755</v>
      </c>
      <c r="D18" s="1293"/>
      <c r="E18" s="27"/>
      <c r="F18" s="178" t="s">
        <v>20</v>
      </c>
      <c r="G18" s="43"/>
      <c r="H18" s="41"/>
    </row>
    <row r="19" spans="3:13" ht="7.5" customHeight="1" x14ac:dyDescent="0.2"/>
    <row r="20" spans="3:13" ht="25.5" customHeight="1" x14ac:dyDescent="0.2">
      <c r="C20" s="1292" t="s">
        <v>756</v>
      </c>
      <c r="D20" s="1293"/>
      <c r="E20" s="27"/>
      <c r="F20" s="178" t="s">
        <v>20</v>
      </c>
      <c r="G20" s="43"/>
      <c r="H20" s="41"/>
    </row>
    <row r="21" spans="3:13" ht="7.5" customHeight="1" x14ac:dyDescent="0.2"/>
    <row r="22" spans="3:13" s="38" customFormat="1" x14ac:dyDescent="0.2">
      <c r="C22" s="1294" t="s">
        <v>757</v>
      </c>
      <c r="D22" s="1295"/>
      <c r="E22" s="27"/>
      <c r="F22" s="645"/>
    </row>
    <row r="23" spans="3:13" ht="7.5" customHeight="1" x14ac:dyDescent="0.2"/>
    <row r="24" spans="3:13" ht="27.75" customHeight="1" x14ac:dyDescent="0.2">
      <c r="C24" s="1292" t="s">
        <v>758</v>
      </c>
      <c r="D24" s="1293"/>
      <c r="E24" s="27"/>
      <c r="F24" s="178" t="s">
        <v>20</v>
      </c>
      <c r="G24" s="43"/>
      <c r="H24" s="41"/>
    </row>
    <row r="25" spans="3:13" ht="7.5" customHeight="1" x14ac:dyDescent="0.2"/>
    <row r="26" spans="3:13" ht="27.75" customHeight="1" x14ac:dyDescent="0.2">
      <c r="C26" s="1292" t="s">
        <v>759</v>
      </c>
      <c r="D26" s="1293"/>
      <c r="E26" s="27"/>
      <c r="F26" s="178" t="s">
        <v>20</v>
      </c>
      <c r="G26" s="43"/>
      <c r="H26" s="41"/>
    </row>
    <row r="27" spans="3:13" ht="7.5" customHeight="1" x14ac:dyDescent="0.2"/>
    <row r="28" spans="3:13" x14ac:dyDescent="0.2">
      <c r="C28" s="1294" t="s">
        <v>174</v>
      </c>
      <c r="D28" s="1295"/>
      <c r="E28" s="27"/>
      <c r="F28" s="645"/>
      <c r="G28" s="98"/>
      <c r="I28" s="91"/>
      <c r="J28" s="96"/>
      <c r="K28" s="96"/>
      <c r="L28" s="93"/>
      <c r="M28" s="100"/>
    </row>
    <row r="29" spans="3:13" x14ac:dyDescent="0.2">
      <c r="I29" s="91"/>
      <c r="J29" s="96"/>
      <c r="K29" s="96"/>
      <c r="L29" s="93"/>
      <c r="M29" s="100"/>
    </row>
    <row r="30" spans="3:13" ht="59.25" customHeight="1" x14ac:dyDescent="0.2">
      <c r="C30" s="1292" t="s">
        <v>806</v>
      </c>
      <c r="D30" s="1293"/>
      <c r="E30" s="27"/>
      <c r="F30" s="178" t="s">
        <v>20</v>
      </c>
      <c r="I30" s="91"/>
      <c r="J30" s="96"/>
      <c r="K30" s="96"/>
      <c r="L30" s="93"/>
      <c r="M30" s="100"/>
    </row>
    <row r="31" spans="3:13" ht="5.25" customHeight="1" x14ac:dyDescent="0.2">
      <c r="I31" s="91"/>
      <c r="J31" s="96"/>
      <c r="K31" s="96"/>
      <c r="L31" s="93"/>
      <c r="M31" s="100"/>
    </row>
    <row r="32" spans="3:13" ht="48.75" customHeight="1" x14ac:dyDescent="0.2">
      <c r="C32" s="1292" t="s">
        <v>807</v>
      </c>
      <c r="D32" s="1293"/>
      <c r="E32" s="27"/>
      <c r="F32" s="178" t="s">
        <v>20</v>
      </c>
      <c r="I32" s="91"/>
      <c r="J32" s="96"/>
      <c r="K32" s="96"/>
      <c r="L32" s="93"/>
      <c r="M32" s="100"/>
    </row>
    <row r="33" spans="3:13" ht="5.25" customHeight="1" x14ac:dyDescent="0.2">
      <c r="I33" s="91"/>
      <c r="J33" s="96"/>
      <c r="K33" s="96"/>
      <c r="L33" s="93"/>
      <c r="M33" s="100"/>
    </row>
    <row r="34" spans="3:13" ht="38.25" customHeight="1" x14ac:dyDescent="0.2">
      <c r="C34" s="1292" t="s">
        <v>808</v>
      </c>
      <c r="D34" s="1293"/>
      <c r="E34" s="27"/>
      <c r="F34" s="178" t="s">
        <v>20</v>
      </c>
      <c r="I34" s="91"/>
      <c r="J34" s="96"/>
      <c r="K34" s="96"/>
      <c r="L34" s="93"/>
      <c r="M34" s="100"/>
    </row>
    <row r="35" spans="3:13" ht="5.25" customHeight="1" x14ac:dyDescent="0.2">
      <c r="I35" s="91"/>
      <c r="J35" s="96"/>
      <c r="K35" s="96"/>
      <c r="L35" s="93"/>
      <c r="M35" s="100"/>
    </row>
    <row r="36" spans="3:13" ht="62.25" customHeight="1" x14ac:dyDescent="0.2">
      <c r="C36" s="1292" t="s">
        <v>809</v>
      </c>
      <c r="D36" s="1293"/>
      <c r="E36" s="27"/>
      <c r="F36" s="178" t="s">
        <v>20</v>
      </c>
      <c r="I36" s="91"/>
      <c r="J36" s="96"/>
      <c r="K36" s="96"/>
      <c r="L36" s="93"/>
      <c r="M36" s="100"/>
    </row>
    <row r="37" spans="3:13" ht="5.25" customHeight="1" x14ac:dyDescent="0.2">
      <c r="I37" s="91"/>
      <c r="J37" s="96"/>
      <c r="K37" s="96"/>
      <c r="L37" s="93"/>
      <c r="M37" s="100"/>
    </row>
    <row r="38" spans="3:13" ht="28.5" customHeight="1" x14ac:dyDescent="0.2">
      <c r="C38" s="1292" t="s">
        <v>810</v>
      </c>
      <c r="D38" s="1293"/>
      <c r="E38" s="27"/>
      <c r="F38" s="178" t="s">
        <v>20</v>
      </c>
      <c r="I38" s="91"/>
      <c r="J38" s="96"/>
      <c r="K38" s="96"/>
      <c r="L38" s="93"/>
      <c r="M38" s="100"/>
    </row>
    <row r="39" spans="3:13" ht="5.25" customHeight="1" x14ac:dyDescent="0.2">
      <c r="I39" s="91"/>
      <c r="J39" s="96"/>
      <c r="K39" s="96"/>
      <c r="L39" s="93"/>
      <c r="M39" s="100"/>
    </row>
    <row r="40" spans="3:13" ht="28.5" customHeight="1" x14ac:dyDescent="0.2">
      <c r="C40" s="1292" t="s">
        <v>811</v>
      </c>
      <c r="D40" s="1293"/>
      <c r="E40" s="27"/>
      <c r="F40" s="178" t="s">
        <v>20</v>
      </c>
      <c r="I40" s="91"/>
      <c r="J40" s="96"/>
      <c r="K40" s="96"/>
      <c r="L40" s="93"/>
      <c r="M40" s="100"/>
    </row>
    <row r="41" spans="3:13" ht="5.25" customHeight="1" x14ac:dyDescent="0.2">
      <c r="I41" s="91"/>
      <c r="J41" s="96"/>
      <c r="K41" s="96"/>
      <c r="L41" s="93"/>
      <c r="M41" s="100"/>
    </row>
    <row r="42" spans="3:13" ht="28.5" customHeight="1" x14ac:dyDescent="0.2">
      <c r="C42" s="1292" t="s">
        <v>812</v>
      </c>
      <c r="D42" s="1293"/>
      <c r="E42" s="27"/>
      <c r="F42" s="178" t="s">
        <v>20</v>
      </c>
      <c r="I42" s="91"/>
      <c r="J42" s="96"/>
      <c r="K42" s="96"/>
      <c r="L42" s="93"/>
      <c r="M42" s="100"/>
    </row>
    <row r="43" spans="3:13" ht="7.5" customHeight="1" x14ac:dyDescent="0.2"/>
    <row r="44" spans="3:13" s="38" customFormat="1" x14ac:dyDescent="0.2">
      <c r="C44" s="1294" t="s">
        <v>760</v>
      </c>
      <c r="D44" s="1295"/>
      <c r="E44" s="27"/>
      <c r="F44" s="645"/>
    </row>
    <row r="45" spans="3:13" ht="7.5" customHeight="1" x14ac:dyDescent="0.2"/>
    <row r="46" spans="3:13" ht="27.75" customHeight="1" x14ac:dyDescent="0.2">
      <c r="C46" s="1292" t="s">
        <v>761</v>
      </c>
      <c r="D46" s="1293"/>
      <c r="E46" s="27"/>
      <c r="F46" s="178" t="s">
        <v>20</v>
      </c>
      <c r="G46" s="43"/>
      <c r="H46" s="41"/>
    </row>
    <row r="47" spans="3:13" ht="5.25" customHeight="1" x14ac:dyDescent="0.2">
      <c r="I47" s="91"/>
      <c r="J47" s="96"/>
      <c r="K47" s="96"/>
      <c r="L47" s="93"/>
      <c r="M47" s="100"/>
    </row>
    <row r="48" spans="3:13" ht="42" customHeight="1" x14ac:dyDescent="0.2">
      <c r="C48" s="1292" t="s">
        <v>762</v>
      </c>
      <c r="D48" s="1293"/>
      <c r="E48" s="27"/>
      <c r="F48" s="178" t="s">
        <v>20</v>
      </c>
      <c r="G48" s="43"/>
      <c r="H48" s="41"/>
    </row>
    <row r="49" spans="3:13" ht="5.25" customHeight="1" x14ac:dyDescent="0.2">
      <c r="I49" s="91"/>
      <c r="J49" s="96"/>
      <c r="K49" s="96"/>
      <c r="L49" s="93"/>
      <c r="M49" s="100"/>
    </row>
    <row r="50" spans="3:13" ht="42" customHeight="1" x14ac:dyDescent="0.2">
      <c r="C50" s="1292" t="s">
        <v>763</v>
      </c>
      <c r="D50" s="1293"/>
      <c r="E50" s="27"/>
      <c r="F50" s="178" t="s">
        <v>20</v>
      </c>
      <c r="G50" s="43"/>
      <c r="H50" s="41"/>
    </row>
    <row r="51" spans="3:13" ht="5.25" customHeight="1" x14ac:dyDescent="0.2">
      <c r="I51" s="91"/>
      <c r="J51" s="96"/>
      <c r="K51" s="96"/>
      <c r="L51" s="93"/>
      <c r="M51" s="100"/>
    </row>
    <row r="52" spans="3:13" ht="27.75" customHeight="1" x14ac:dyDescent="0.2">
      <c r="C52" s="1292" t="s">
        <v>764</v>
      </c>
      <c r="D52" s="1293"/>
      <c r="E52" s="27"/>
      <c r="F52" s="178" t="s">
        <v>20</v>
      </c>
      <c r="G52" s="43"/>
      <c r="H52" s="41"/>
    </row>
    <row r="53" spans="3:13" ht="5.25" customHeight="1" x14ac:dyDescent="0.2">
      <c r="I53" s="91"/>
      <c r="J53" s="96"/>
      <c r="K53" s="96"/>
      <c r="L53" s="93"/>
      <c r="M53" s="100"/>
    </row>
    <row r="54" spans="3:13" s="38" customFormat="1" collapsed="1" x14ac:dyDescent="0.2">
      <c r="C54" s="1294" t="s">
        <v>765</v>
      </c>
      <c r="D54" s="1295"/>
      <c r="E54" s="27"/>
      <c r="F54" s="645"/>
    </row>
    <row r="55" spans="3:13" ht="7.5" customHeight="1" x14ac:dyDescent="0.2"/>
    <row r="56" spans="3:13" ht="27.75" customHeight="1" x14ac:dyDescent="0.2">
      <c r="C56" s="1292" t="s">
        <v>766</v>
      </c>
      <c r="D56" s="1293"/>
      <c r="E56" s="27"/>
      <c r="F56" s="178" t="s">
        <v>20</v>
      </c>
      <c r="G56" s="43"/>
      <c r="H56" s="41"/>
    </row>
    <row r="57" spans="3:13" ht="5.25" customHeight="1" x14ac:dyDescent="0.2">
      <c r="I57" s="91"/>
      <c r="J57" s="96"/>
      <c r="K57" s="96"/>
      <c r="L57" s="93"/>
      <c r="M57" s="100"/>
    </row>
    <row r="58" spans="3:13" ht="45.75" customHeight="1" x14ac:dyDescent="0.2">
      <c r="C58" s="1292" t="s">
        <v>767</v>
      </c>
      <c r="D58" s="1293"/>
      <c r="E58" s="27"/>
      <c r="F58" s="178" t="s">
        <v>20</v>
      </c>
      <c r="G58" s="43"/>
      <c r="H58" s="41"/>
    </row>
    <row r="59" spans="3:13" ht="5.25" customHeight="1" x14ac:dyDescent="0.2">
      <c r="I59" s="91"/>
      <c r="J59" s="96"/>
      <c r="K59" s="96"/>
      <c r="L59" s="93"/>
      <c r="M59" s="100"/>
    </row>
    <row r="60" spans="3:13" ht="27.75" customHeight="1" x14ac:dyDescent="0.2">
      <c r="C60" s="1292" t="s">
        <v>768</v>
      </c>
      <c r="D60" s="1293"/>
      <c r="E60" s="27"/>
      <c r="F60" s="178" t="s">
        <v>20</v>
      </c>
      <c r="G60" s="43"/>
      <c r="H60" s="41"/>
    </row>
    <row r="61" spans="3:13" ht="5.25" customHeight="1" x14ac:dyDescent="0.2">
      <c r="I61" s="91"/>
      <c r="J61" s="96"/>
      <c r="K61" s="96"/>
      <c r="L61" s="93"/>
      <c r="M61" s="100"/>
    </row>
    <row r="62" spans="3:13" ht="27.75" customHeight="1" x14ac:dyDescent="0.2">
      <c r="C62" s="1292" t="s">
        <v>769</v>
      </c>
      <c r="D62" s="1293"/>
      <c r="E62" s="27"/>
      <c r="F62" s="178" t="s">
        <v>20</v>
      </c>
      <c r="G62" s="43"/>
      <c r="H62" s="41"/>
    </row>
    <row r="63" spans="3:13" ht="5.25" customHeight="1" x14ac:dyDescent="0.2">
      <c r="I63" s="91"/>
      <c r="J63" s="96"/>
      <c r="K63" s="96"/>
      <c r="L63" s="93"/>
      <c r="M63" s="100"/>
    </row>
    <row r="64" spans="3:13" ht="51.75" customHeight="1" x14ac:dyDescent="0.2">
      <c r="C64" s="1292" t="s">
        <v>770</v>
      </c>
      <c r="D64" s="1293"/>
      <c r="E64" s="27"/>
      <c r="F64" s="178" t="s">
        <v>20</v>
      </c>
      <c r="G64" s="43"/>
      <c r="H64" s="41"/>
    </row>
    <row r="65" spans="3:13" ht="5.25" customHeight="1" x14ac:dyDescent="0.2">
      <c r="I65" s="91"/>
      <c r="J65" s="96"/>
      <c r="K65" s="96"/>
      <c r="L65" s="93"/>
      <c r="M65" s="100"/>
    </row>
    <row r="66" spans="3:13" ht="27.75" customHeight="1" x14ac:dyDescent="0.2">
      <c r="C66" s="1292" t="s">
        <v>771</v>
      </c>
      <c r="D66" s="1293"/>
      <c r="E66" s="27"/>
      <c r="F66" s="178" t="s">
        <v>20</v>
      </c>
      <c r="G66" s="43"/>
      <c r="H66" s="41"/>
    </row>
    <row r="67" spans="3:13" ht="5.25" customHeight="1" x14ac:dyDescent="0.2">
      <c r="I67" s="91"/>
      <c r="J67" s="96"/>
      <c r="K67" s="96"/>
      <c r="L67" s="93"/>
      <c r="M67" s="100"/>
    </row>
    <row r="68" spans="3:13" ht="27.75" customHeight="1" x14ac:dyDescent="0.2">
      <c r="C68" s="1292" t="s">
        <v>772</v>
      </c>
      <c r="D68" s="1293"/>
      <c r="E68" s="27"/>
      <c r="F68" s="178" t="s">
        <v>20</v>
      </c>
      <c r="G68" s="43"/>
      <c r="H68" s="41"/>
    </row>
    <row r="69" spans="3:13" ht="5.25" customHeight="1" x14ac:dyDescent="0.2">
      <c r="I69" s="91"/>
      <c r="J69" s="96"/>
      <c r="K69" s="96"/>
      <c r="L69" s="93"/>
      <c r="M69" s="100"/>
    </row>
    <row r="70" spans="3:13" s="38" customFormat="1" x14ac:dyDescent="0.2">
      <c r="C70" s="1294" t="s">
        <v>813</v>
      </c>
      <c r="D70" s="1295"/>
      <c r="E70" s="27"/>
      <c r="F70" s="645"/>
    </row>
    <row r="71" spans="3:13" ht="7.5" customHeight="1" x14ac:dyDescent="0.2"/>
    <row r="72" spans="3:13" ht="57" customHeight="1" x14ac:dyDescent="0.2">
      <c r="C72" s="1292" t="s">
        <v>814</v>
      </c>
      <c r="D72" s="1293"/>
      <c r="E72" s="27"/>
      <c r="F72" s="178" t="s">
        <v>20</v>
      </c>
      <c r="G72" s="43"/>
      <c r="H72" s="41"/>
    </row>
    <row r="73" spans="3:13" ht="5.25" customHeight="1" x14ac:dyDescent="0.2">
      <c r="I73" s="91"/>
      <c r="J73" s="96"/>
      <c r="K73" s="96"/>
      <c r="L73" s="93"/>
      <c r="M73" s="100"/>
    </row>
    <row r="74" spans="3:13" ht="67.5" customHeight="1" x14ac:dyDescent="0.2">
      <c r="C74" s="1292" t="s">
        <v>815</v>
      </c>
      <c r="D74" s="1293"/>
      <c r="E74" s="27"/>
      <c r="F74" s="178" t="s">
        <v>20</v>
      </c>
      <c r="G74" s="43"/>
      <c r="H74" s="41"/>
    </row>
    <row r="75" spans="3:13" ht="5.25" customHeight="1" x14ac:dyDescent="0.2">
      <c r="I75" s="91"/>
      <c r="J75" s="96"/>
      <c r="K75" s="96"/>
      <c r="L75" s="93"/>
      <c r="M75" s="100"/>
    </row>
    <row r="76" spans="3:13" ht="42" customHeight="1" x14ac:dyDescent="0.2">
      <c r="C76" s="1292" t="s">
        <v>816</v>
      </c>
      <c r="D76" s="1293"/>
      <c r="E76" s="27"/>
      <c r="F76" s="178" t="s">
        <v>20</v>
      </c>
      <c r="G76" s="43"/>
      <c r="H76" s="41"/>
    </row>
    <row r="77" spans="3:13" ht="5.25" customHeight="1" x14ac:dyDescent="0.2">
      <c r="I77" s="91"/>
      <c r="J77" s="96"/>
      <c r="K77" s="96"/>
      <c r="L77" s="93"/>
      <c r="M77" s="100"/>
    </row>
    <row r="78" spans="3:13" ht="27.75" customHeight="1" x14ac:dyDescent="0.2">
      <c r="C78" s="1292" t="s">
        <v>817</v>
      </c>
      <c r="D78" s="1293"/>
      <c r="E78" s="27"/>
      <c r="F78" s="178" t="s">
        <v>20</v>
      </c>
      <c r="G78" s="43"/>
      <c r="H78" s="41"/>
    </row>
    <row r="79" spans="3:13" ht="5.25" customHeight="1" x14ac:dyDescent="0.2">
      <c r="I79" s="91"/>
      <c r="J79" s="96"/>
      <c r="K79" s="96"/>
      <c r="L79" s="93"/>
      <c r="M79" s="100"/>
    </row>
    <row r="80" spans="3:13" ht="27.75" customHeight="1" x14ac:dyDescent="0.2">
      <c r="C80" s="1292" t="s">
        <v>818</v>
      </c>
      <c r="D80" s="1293"/>
      <c r="E80" s="27"/>
      <c r="F80" s="178" t="s">
        <v>20</v>
      </c>
      <c r="G80" s="43"/>
      <c r="H80" s="41"/>
    </row>
    <row r="81" spans="9:13" ht="5.25" customHeight="1" x14ac:dyDescent="0.2">
      <c r="I81" s="91"/>
      <c r="J81" s="96"/>
      <c r="K81" s="96"/>
      <c r="L81" s="93"/>
      <c r="M81" s="100"/>
    </row>
    <row r="82" spans="9:13" ht="5.25" customHeight="1" x14ac:dyDescent="0.2">
      <c r="I82" s="91"/>
      <c r="J82" s="96"/>
      <c r="K82" s="96"/>
      <c r="L82" s="93"/>
      <c r="M82" s="100"/>
    </row>
  </sheetData>
  <mergeCells count="37">
    <mergeCell ref="C10:D10"/>
    <mergeCell ref="C8:F8"/>
    <mergeCell ref="C12:D12"/>
    <mergeCell ref="C14:D14"/>
    <mergeCell ref="C16:D16"/>
    <mergeCell ref="C18:D18"/>
    <mergeCell ref="C20:D20"/>
    <mergeCell ref="C26:D26"/>
    <mergeCell ref="C60:D60"/>
    <mergeCell ref="C24:D24"/>
    <mergeCell ref="C22:D22"/>
    <mergeCell ref="C44:D44"/>
    <mergeCell ref="C28:D28"/>
    <mergeCell ref="C30:D30"/>
    <mergeCell ref="C32:D32"/>
    <mergeCell ref="C34:D34"/>
    <mergeCell ref="C36:D36"/>
    <mergeCell ref="C40:D40"/>
    <mergeCell ref="C42:D42"/>
    <mergeCell ref="C56:D56"/>
    <mergeCell ref="C58:D58"/>
    <mergeCell ref="C78:D78"/>
    <mergeCell ref="C80:D80"/>
    <mergeCell ref="C38:D38"/>
    <mergeCell ref="C70:D70"/>
    <mergeCell ref="C72:D72"/>
    <mergeCell ref="C74:D74"/>
    <mergeCell ref="C76:D76"/>
    <mergeCell ref="C62:D62"/>
    <mergeCell ref="C64:D64"/>
    <mergeCell ref="C66:D66"/>
    <mergeCell ref="C68:D68"/>
    <mergeCell ref="C48:D48"/>
    <mergeCell ref="C50:D50"/>
    <mergeCell ref="C52:D52"/>
    <mergeCell ref="C54:D54"/>
    <mergeCell ref="C46:D46"/>
  </mergeCells>
  <conditionalFormatting sqref="F10 F12 F44">
    <cfRule type="cellIs" dxfId="36" priority="104" operator="equal">
      <formula>"No"</formula>
    </cfRule>
  </conditionalFormatting>
  <conditionalFormatting sqref="F10">
    <cfRule type="cellIs" dxfId="35" priority="98" operator="equal">
      <formula>"Yes"</formula>
    </cfRule>
  </conditionalFormatting>
  <conditionalFormatting sqref="F14">
    <cfRule type="cellIs" dxfId="34" priority="66" operator="equal">
      <formula>"No"</formula>
    </cfRule>
  </conditionalFormatting>
  <conditionalFormatting sqref="F16">
    <cfRule type="cellIs" dxfId="33" priority="102" operator="equal">
      <formula>"No"</formula>
    </cfRule>
  </conditionalFormatting>
  <conditionalFormatting sqref="F18">
    <cfRule type="cellIs" dxfId="32" priority="65" operator="equal">
      <formula>"No"</formula>
    </cfRule>
  </conditionalFormatting>
  <conditionalFormatting sqref="F20">
    <cfRule type="cellIs" dxfId="31" priority="64" operator="equal">
      <formula>"No"</formula>
    </cfRule>
  </conditionalFormatting>
  <conditionalFormatting sqref="F22">
    <cfRule type="cellIs" dxfId="30" priority="13" operator="equal">
      <formula>"Yes"</formula>
    </cfRule>
    <cfRule type="cellIs" dxfId="29" priority="14" operator="equal">
      <formula>"No"</formula>
    </cfRule>
  </conditionalFormatting>
  <conditionalFormatting sqref="F24">
    <cfRule type="cellIs" dxfId="28" priority="101" operator="equal">
      <formula>"No"</formula>
    </cfRule>
  </conditionalFormatting>
  <conditionalFormatting sqref="F26">
    <cfRule type="cellIs" dxfId="27" priority="63" operator="equal">
      <formula>"No"</formula>
    </cfRule>
  </conditionalFormatting>
  <conditionalFormatting sqref="F28">
    <cfRule type="cellIs" dxfId="26" priority="11" operator="equal">
      <formula>"Yes"</formula>
    </cfRule>
    <cfRule type="cellIs" dxfId="25" priority="12" operator="equal">
      <formula>"No"</formula>
    </cfRule>
  </conditionalFormatting>
  <conditionalFormatting sqref="F30">
    <cfRule type="cellIs" dxfId="24" priority="93" operator="equal">
      <formula>"No"</formula>
    </cfRule>
  </conditionalFormatting>
  <conditionalFormatting sqref="F32">
    <cfRule type="cellIs" dxfId="23" priority="39" operator="equal">
      <formula>"No"</formula>
    </cfRule>
  </conditionalFormatting>
  <conditionalFormatting sqref="F34">
    <cfRule type="cellIs" dxfId="22" priority="83" operator="equal">
      <formula>"No"</formula>
    </cfRule>
  </conditionalFormatting>
  <conditionalFormatting sqref="F36 F38 F40 F42">
    <cfRule type="cellIs" dxfId="21" priority="38" operator="equal">
      <formula>"No"</formula>
    </cfRule>
  </conditionalFormatting>
  <conditionalFormatting sqref="F44">
    <cfRule type="cellIs" dxfId="20" priority="10" operator="equal">
      <formula>"Yes"</formula>
    </cfRule>
  </conditionalFormatting>
  <conditionalFormatting sqref="F46">
    <cfRule type="cellIs" dxfId="19" priority="62" operator="equal">
      <formula>"No"</formula>
    </cfRule>
  </conditionalFormatting>
  <conditionalFormatting sqref="F48">
    <cfRule type="cellIs" dxfId="18" priority="61" operator="equal">
      <formula>"No"</formula>
    </cfRule>
  </conditionalFormatting>
  <conditionalFormatting sqref="F50">
    <cfRule type="cellIs" dxfId="17" priority="51" operator="equal">
      <formula>"No"</formula>
    </cfRule>
  </conditionalFormatting>
  <conditionalFormatting sqref="F52">
    <cfRule type="cellIs" dxfId="16" priority="59" operator="equal">
      <formula>"No"</formula>
    </cfRule>
  </conditionalFormatting>
  <conditionalFormatting sqref="F54">
    <cfRule type="cellIs" dxfId="15" priority="8" operator="equal">
      <formula>"Yes"</formula>
    </cfRule>
    <cfRule type="cellIs" dxfId="14" priority="9" operator="equal">
      <formula>"No"</formula>
    </cfRule>
  </conditionalFormatting>
  <conditionalFormatting sqref="F56">
    <cfRule type="cellIs" dxfId="13" priority="57" operator="equal">
      <formula>"No"</formula>
    </cfRule>
  </conditionalFormatting>
  <conditionalFormatting sqref="F58">
    <cfRule type="cellIs" dxfId="12" priority="55" operator="equal">
      <formula>"No"</formula>
    </cfRule>
  </conditionalFormatting>
  <conditionalFormatting sqref="F60">
    <cfRule type="cellIs" dxfId="11" priority="48" operator="equal">
      <formula>"No"</formula>
    </cfRule>
  </conditionalFormatting>
  <conditionalFormatting sqref="F62">
    <cfRule type="cellIs" dxfId="10" priority="47" operator="equal">
      <formula>"No"</formula>
    </cfRule>
  </conditionalFormatting>
  <conditionalFormatting sqref="F64">
    <cfRule type="cellIs" dxfId="9" priority="44" operator="equal">
      <formula>"No"</formula>
    </cfRule>
  </conditionalFormatting>
  <conditionalFormatting sqref="F66">
    <cfRule type="cellIs" dxfId="8" priority="43" operator="equal">
      <formula>"No"</formula>
    </cfRule>
  </conditionalFormatting>
  <conditionalFormatting sqref="F68">
    <cfRule type="cellIs" dxfId="7" priority="40" operator="equal">
      <formula>"No"</formula>
    </cfRule>
  </conditionalFormatting>
  <conditionalFormatting sqref="F70">
    <cfRule type="cellIs" dxfId="6" priority="6" operator="equal">
      <formula>"Yes"</formula>
    </cfRule>
    <cfRule type="cellIs" dxfId="5" priority="7" operator="equal">
      <formula>"No"</formula>
    </cfRule>
  </conditionalFormatting>
  <conditionalFormatting sqref="F72">
    <cfRule type="cellIs" dxfId="4" priority="5" operator="equal">
      <formula>"No"</formula>
    </cfRule>
  </conditionalFormatting>
  <conditionalFormatting sqref="F74">
    <cfRule type="cellIs" dxfId="3" priority="4" operator="equal">
      <formula>"No"</formula>
    </cfRule>
  </conditionalFormatting>
  <conditionalFormatting sqref="F76">
    <cfRule type="cellIs" dxfId="2" priority="3" operator="equal">
      <formula>"No"</formula>
    </cfRule>
  </conditionalFormatting>
  <conditionalFormatting sqref="F78">
    <cfRule type="cellIs" dxfId="1" priority="2" operator="equal">
      <formula>"No"</formula>
    </cfRule>
  </conditionalFormatting>
  <conditionalFormatting sqref="F80">
    <cfRule type="cellIs" dxfId="0" priority="1" operator="equal">
      <formula>"No"</formula>
    </cfRule>
  </conditionalFormatting>
  <dataValidations count="1">
    <dataValidation type="list" allowBlank="1" showInputMessage="1" showErrorMessage="1" sqref="F12 F14 F34:F38 F58 F48 F50 F52 F56 F45:F46 F29:F32 F60 F62 F64 F66 F68 F40 F42 F16:F21 F23:F27 F72 F74 F76 F78 F80" xr:uid="{00000000-0002-0000-0E00-000000000000}">
      <formula1>$N$3:$N$4</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760E-1629-454F-BFD4-9CAAFC7BC993}">
  <sheetPr>
    <tabColor theme="0" tint="-0.249977111117893"/>
  </sheetPr>
  <dimension ref="A1:AO64"/>
  <sheetViews>
    <sheetView showGridLines="0" workbookViewId="0">
      <selection activeCell="H10" sqref="H10"/>
    </sheetView>
  </sheetViews>
  <sheetFormatPr defaultRowHeight="12.75" x14ac:dyDescent="0.2"/>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7.42578125" customWidth="1"/>
    <col min="10" max="26" width="31.140625" customWidth="1"/>
    <col min="27" max="38" width="36.140625" customWidth="1"/>
  </cols>
  <sheetData>
    <row r="1" spans="1:9" ht="26.25" thickBot="1" x14ac:dyDescent="0.25">
      <c r="A1" s="951" t="s">
        <v>1608</v>
      </c>
      <c r="B1" s="951" t="s">
        <v>1609</v>
      </c>
      <c r="C1" s="952" t="s">
        <v>1610</v>
      </c>
      <c r="D1" s="951" t="s">
        <v>1611</v>
      </c>
      <c r="E1" s="951" t="s">
        <v>1612</v>
      </c>
      <c r="F1" s="951" t="s">
        <v>1613</v>
      </c>
      <c r="G1" s="951" t="s">
        <v>1614</v>
      </c>
      <c r="H1" s="951" t="s">
        <v>1615</v>
      </c>
      <c r="I1" s="953" t="s">
        <v>1616</v>
      </c>
    </row>
    <row r="2" spans="1:9" ht="26.25" thickBot="1" x14ac:dyDescent="0.25">
      <c r="A2" s="954" t="s">
        <v>1617</v>
      </c>
      <c r="B2" s="954" t="s">
        <v>1618</v>
      </c>
      <c r="C2" s="955" t="s">
        <v>1618</v>
      </c>
      <c r="D2" s="956"/>
      <c r="E2" s="957"/>
      <c r="F2" s="958" t="s">
        <v>657</v>
      </c>
      <c r="G2" s="958" t="s">
        <v>657</v>
      </c>
      <c r="H2" s="959"/>
      <c r="I2" s="960"/>
    </row>
    <row r="3" spans="1:9" ht="26.25" thickBot="1" x14ac:dyDescent="0.25">
      <c r="A3" s="954" t="s">
        <v>1617</v>
      </c>
      <c r="B3" s="954" t="s">
        <v>1618</v>
      </c>
      <c r="C3" s="952" t="s">
        <v>1619</v>
      </c>
      <c r="D3" s="961" t="s">
        <v>1620</v>
      </c>
      <c r="E3" s="962" t="s">
        <v>1621</v>
      </c>
      <c r="F3" s="963" t="s">
        <v>1622</v>
      </c>
      <c r="G3" s="963" t="s">
        <v>1622</v>
      </c>
      <c r="H3" s="964" t="s">
        <v>1623</v>
      </c>
      <c r="I3" s="971" t="str">
        <f>'00 - Cover'!F11</f>
        <v>969500Z05GRNU3KPEY94</v>
      </c>
    </row>
    <row r="4" spans="1:9" ht="26.25" thickBot="1" x14ac:dyDescent="0.25">
      <c r="A4" s="954" t="s">
        <v>1617</v>
      </c>
      <c r="B4" s="954" t="s">
        <v>1618</v>
      </c>
      <c r="C4" s="952" t="s">
        <v>1624</v>
      </c>
      <c r="D4" s="961" t="s">
        <v>1625</v>
      </c>
      <c r="E4" s="962" t="s">
        <v>1626</v>
      </c>
      <c r="F4" s="963" t="s">
        <v>1622</v>
      </c>
      <c r="G4" s="963" t="s">
        <v>1622</v>
      </c>
      <c r="H4" s="964" t="s">
        <v>1627</v>
      </c>
      <c r="I4" s="971">
        <f>'00 - Cover'!F14</f>
        <v>45565</v>
      </c>
    </row>
    <row r="5" spans="1:9" ht="26.25" thickBot="1" x14ac:dyDescent="0.25">
      <c r="A5" s="954" t="s">
        <v>1617</v>
      </c>
      <c r="B5" s="954" t="s">
        <v>1618</v>
      </c>
      <c r="C5" s="952" t="s">
        <v>1628</v>
      </c>
      <c r="D5" s="961" t="s">
        <v>1629</v>
      </c>
      <c r="E5" s="962" t="s">
        <v>1630</v>
      </c>
      <c r="F5" s="963" t="s">
        <v>1622</v>
      </c>
      <c r="G5" s="963" t="s">
        <v>1622</v>
      </c>
      <c r="H5" s="964" t="s">
        <v>1631</v>
      </c>
      <c r="I5" s="964" t="str">
        <f>'00 - Cover'!C8</f>
        <v>FCT French Prime Cash 2023</v>
      </c>
    </row>
    <row r="6" spans="1:9" ht="39" thickBot="1" x14ac:dyDescent="0.25">
      <c r="A6" s="954" t="s">
        <v>1617</v>
      </c>
      <c r="B6" s="954" t="s">
        <v>1618</v>
      </c>
      <c r="C6" s="952" t="s">
        <v>1632</v>
      </c>
      <c r="D6" s="961" t="s">
        <v>1633</v>
      </c>
      <c r="E6" s="962" t="s">
        <v>1634</v>
      </c>
      <c r="F6" s="963" t="s">
        <v>1622</v>
      </c>
      <c r="G6" s="963" t="s">
        <v>1622</v>
      </c>
      <c r="H6" s="964" t="s">
        <v>1631</v>
      </c>
      <c r="I6" s="982" t="s">
        <v>2479</v>
      </c>
    </row>
    <row r="7" spans="1:9" ht="26.25" thickBot="1" x14ac:dyDescent="0.25">
      <c r="A7" s="954" t="s">
        <v>1617</v>
      </c>
      <c r="B7" s="954" t="s">
        <v>1618</v>
      </c>
      <c r="C7" s="952" t="s">
        <v>1635</v>
      </c>
      <c r="D7" s="961" t="s">
        <v>1636</v>
      </c>
      <c r="E7" s="962" t="s">
        <v>1637</v>
      </c>
      <c r="F7" s="963" t="s">
        <v>1622</v>
      </c>
      <c r="G7" s="963" t="s">
        <v>1622</v>
      </c>
      <c r="H7" s="964" t="s">
        <v>1638</v>
      </c>
      <c r="I7" s="982" t="s">
        <v>2480</v>
      </c>
    </row>
    <row r="8" spans="1:9" ht="26.25" thickBot="1" x14ac:dyDescent="0.25">
      <c r="A8" s="954" t="s">
        <v>1617</v>
      </c>
      <c r="B8" s="954" t="s">
        <v>1618</v>
      </c>
      <c r="C8" s="952" t="s">
        <v>1639</v>
      </c>
      <c r="D8" s="961" t="s">
        <v>1640</v>
      </c>
      <c r="E8" s="962" t="s">
        <v>1641</v>
      </c>
      <c r="F8" s="963" t="s">
        <v>1622</v>
      </c>
      <c r="G8" s="963" t="s">
        <v>1622</v>
      </c>
      <c r="H8" s="964" t="s">
        <v>1642</v>
      </c>
      <c r="I8" s="982" t="s">
        <v>2481</v>
      </c>
    </row>
    <row r="9" spans="1:9" ht="39" thickBot="1" x14ac:dyDescent="0.25">
      <c r="A9" s="954" t="s">
        <v>1617</v>
      </c>
      <c r="B9" s="954" t="s">
        <v>1618</v>
      </c>
      <c r="C9" s="952" t="s">
        <v>1643</v>
      </c>
      <c r="D9" s="961" t="s">
        <v>1644</v>
      </c>
      <c r="E9" s="962" t="s">
        <v>1645</v>
      </c>
      <c r="F9" s="963" t="s">
        <v>1622</v>
      </c>
      <c r="G9" s="963" t="s">
        <v>1622</v>
      </c>
      <c r="H9" s="964" t="s">
        <v>1638</v>
      </c>
      <c r="I9" s="982" t="s">
        <v>2482</v>
      </c>
    </row>
    <row r="10" spans="1:9" ht="128.25" thickBot="1" x14ac:dyDescent="0.25">
      <c r="A10" s="954" t="s">
        <v>1617</v>
      </c>
      <c r="B10" s="954" t="s">
        <v>1618</v>
      </c>
      <c r="C10" s="952" t="s">
        <v>1646</v>
      </c>
      <c r="D10" s="961" t="s">
        <v>1647</v>
      </c>
      <c r="E10" s="962" t="s">
        <v>1648</v>
      </c>
      <c r="F10" s="963" t="s">
        <v>1622</v>
      </c>
      <c r="G10" s="963" t="s">
        <v>1622</v>
      </c>
      <c r="H10" s="964" t="s">
        <v>1649</v>
      </c>
      <c r="I10" s="964" t="s">
        <v>2419</v>
      </c>
    </row>
    <row r="11" spans="1:9" ht="128.25" thickBot="1" x14ac:dyDescent="0.25">
      <c r="A11" s="954" t="s">
        <v>1617</v>
      </c>
      <c r="B11" s="954" t="s">
        <v>1618</v>
      </c>
      <c r="C11" s="952" t="s">
        <v>1650</v>
      </c>
      <c r="D11" s="961" t="s">
        <v>1651</v>
      </c>
      <c r="E11" s="962" t="s">
        <v>1652</v>
      </c>
      <c r="F11" s="963" t="s">
        <v>1622</v>
      </c>
      <c r="G11" s="963" t="s">
        <v>1622</v>
      </c>
      <c r="H11" s="964" t="s">
        <v>1649</v>
      </c>
      <c r="I11" s="964" t="s">
        <v>2420</v>
      </c>
    </row>
    <row r="12" spans="1:9" ht="179.25" thickBot="1" x14ac:dyDescent="0.25">
      <c r="A12" s="954" t="s">
        <v>1617</v>
      </c>
      <c r="B12" s="954" t="s">
        <v>1618</v>
      </c>
      <c r="C12" s="952" t="s">
        <v>1653</v>
      </c>
      <c r="D12" s="961" t="s">
        <v>1654</v>
      </c>
      <c r="E12" s="962" t="s">
        <v>1655</v>
      </c>
      <c r="F12" s="963" t="s">
        <v>1622</v>
      </c>
      <c r="G12" s="963" t="s">
        <v>1622</v>
      </c>
      <c r="H12" s="964" t="s">
        <v>1649</v>
      </c>
      <c r="I12" s="964" t="s">
        <v>2421</v>
      </c>
    </row>
    <row r="13" spans="1:9" ht="39" thickBot="1" x14ac:dyDescent="0.25">
      <c r="A13" s="954" t="s">
        <v>1617</v>
      </c>
      <c r="B13" s="954" t="s">
        <v>1618</v>
      </c>
      <c r="C13" s="952" t="s">
        <v>1656</v>
      </c>
      <c r="D13" s="961" t="s">
        <v>1657</v>
      </c>
      <c r="E13" s="962" t="s">
        <v>1658</v>
      </c>
      <c r="F13" s="963" t="s">
        <v>1622</v>
      </c>
      <c r="G13" s="963" t="s">
        <v>1622</v>
      </c>
      <c r="H13" s="964" t="s">
        <v>1659</v>
      </c>
      <c r="I13" s="964" t="s">
        <v>2422</v>
      </c>
    </row>
    <row r="14" spans="1:9" ht="39" thickBot="1" x14ac:dyDescent="0.25">
      <c r="A14" s="954" t="s">
        <v>1617</v>
      </c>
      <c r="B14" s="954" t="s">
        <v>1618</v>
      </c>
      <c r="C14" s="952" t="s">
        <v>1660</v>
      </c>
      <c r="D14" s="961" t="s">
        <v>1661</v>
      </c>
      <c r="E14" s="962" t="s">
        <v>1662</v>
      </c>
      <c r="F14" s="963" t="s">
        <v>1622</v>
      </c>
      <c r="G14" s="963" t="s">
        <v>1622</v>
      </c>
      <c r="H14" s="964" t="s">
        <v>1659</v>
      </c>
      <c r="I14" s="964" t="s">
        <v>2423</v>
      </c>
    </row>
    <row r="15" spans="1:9" ht="26.25" thickBot="1" x14ac:dyDescent="0.25">
      <c r="A15" s="954" t="s">
        <v>1617</v>
      </c>
      <c r="B15" s="954" t="s">
        <v>1618</v>
      </c>
      <c r="C15" s="952" t="s">
        <v>1663</v>
      </c>
      <c r="D15" s="961" t="s">
        <v>1664</v>
      </c>
      <c r="E15" s="962" t="s">
        <v>1665</v>
      </c>
      <c r="F15" s="963" t="s">
        <v>1622</v>
      </c>
      <c r="G15" s="963" t="s">
        <v>1666</v>
      </c>
      <c r="H15" s="964" t="s">
        <v>1627</v>
      </c>
      <c r="I15" s="964" t="s">
        <v>2424</v>
      </c>
    </row>
    <row r="16" spans="1:9" ht="39" thickBot="1" x14ac:dyDescent="0.25">
      <c r="A16" s="954" t="s">
        <v>1617</v>
      </c>
      <c r="B16" s="954" t="s">
        <v>1618</v>
      </c>
      <c r="C16" s="952" t="s">
        <v>1667</v>
      </c>
      <c r="D16" s="961" t="s">
        <v>1668</v>
      </c>
      <c r="E16" s="962" t="s">
        <v>1669</v>
      </c>
      <c r="F16" s="963" t="s">
        <v>1622</v>
      </c>
      <c r="G16" s="963" t="s">
        <v>1666</v>
      </c>
      <c r="H16" s="964" t="s">
        <v>1670</v>
      </c>
      <c r="I16" s="964" t="str">
        <f>TEXT('04 - Monthly Collection'!AA13,"### ###0,00")&amp;" EUR"</f>
        <v>3 272,83 EUR</v>
      </c>
    </row>
    <row r="17" spans="1:10" ht="39" thickBot="1" x14ac:dyDescent="0.25">
      <c r="A17" s="954" t="s">
        <v>1617</v>
      </c>
      <c r="B17" s="954" t="s">
        <v>1618</v>
      </c>
      <c r="C17" s="952" t="s">
        <v>1671</v>
      </c>
      <c r="D17" s="961" t="s">
        <v>1672</v>
      </c>
      <c r="E17" s="962" t="s">
        <v>1673</v>
      </c>
      <c r="F17" s="963" t="s">
        <v>1622</v>
      </c>
      <c r="G17" s="963" t="s">
        <v>1666</v>
      </c>
      <c r="H17" s="964" t="s">
        <v>1670</v>
      </c>
      <c r="I17" s="964" t="str">
        <f>TEXT('04 - Monthly Collection'!AJ13+'04 - Monthly Collection'!AK13+'04 - Monthly Collection'!AL13,"### ###0,00")&amp;" EUR"</f>
        <v>54,24 EUR</v>
      </c>
    </row>
    <row r="18" spans="1:10" ht="39" thickBot="1" x14ac:dyDescent="0.25">
      <c r="A18" s="954" t="s">
        <v>1617</v>
      </c>
      <c r="B18" s="954" t="s">
        <v>1618</v>
      </c>
      <c r="C18" s="952" t="s">
        <v>1674</v>
      </c>
      <c r="D18" s="961" t="s">
        <v>1675</v>
      </c>
      <c r="E18" s="962" t="s">
        <v>1676</v>
      </c>
      <c r="F18" s="963" t="s">
        <v>1622</v>
      </c>
      <c r="G18" s="963" t="s">
        <v>1666</v>
      </c>
      <c r="H18" s="964" t="s">
        <v>1670</v>
      </c>
      <c r="I18" s="964" t="str">
        <f>TEXT('04 - Monthly Collection'!H13,"### ###0,00")&amp;" EUR"</f>
        <v>5 621 294,81 EUR</v>
      </c>
    </row>
    <row r="19" spans="1:10" ht="39" thickBot="1" x14ac:dyDescent="0.25">
      <c r="A19" s="954" t="s">
        <v>1617</v>
      </c>
      <c r="B19" s="954" t="s">
        <v>1618</v>
      </c>
      <c r="C19" s="952" t="s">
        <v>1677</v>
      </c>
      <c r="D19" s="961" t="s">
        <v>1678</v>
      </c>
      <c r="E19" s="962" t="s">
        <v>1679</v>
      </c>
      <c r="F19" s="963" t="s">
        <v>1622</v>
      </c>
      <c r="G19" s="963" t="s">
        <v>1666</v>
      </c>
      <c r="H19" s="964" t="s">
        <v>1670</v>
      </c>
      <c r="I19" s="964" t="str">
        <f>TEXT('04 - Monthly Collection'!Q13+'04 - Monthly Collection'!R13+'04 - Monthly Collection'!S13,"### ###,00")&amp;" EUR"</f>
        <v>823 041,57 EUR</v>
      </c>
    </row>
    <row r="20" spans="1:10" ht="26.25" thickBot="1" x14ac:dyDescent="0.25">
      <c r="A20" s="954" t="s">
        <v>1617</v>
      </c>
      <c r="B20" s="954" t="s">
        <v>1618</v>
      </c>
      <c r="C20" s="952" t="s">
        <v>1680</v>
      </c>
      <c r="D20" s="961" t="s">
        <v>1681</v>
      </c>
      <c r="E20" s="962" t="s">
        <v>1682</v>
      </c>
      <c r="F20" s="963" t="s">
        <v>1622</v>
      </c>
      <c r="G20" s="963" t="s">
        <v>1666</v>
      </c>
      <c r="H20" s="964" t="s">
        <v>1659</v>
      </c>
      <c r="I20" s="964" t="s">
        <v>2423</v>
      </c>
    </row>
    <row r="21" spans="1:10" ht="51.75" thickBot="1" x14ac:dyDescent="0.25">
      <c r="A21" s="954" t="s">
        <v>1617</v>
      </c>
      <c r="B21" s="954" t="s">
        <v>1618</v>
      </c>
      <c r="C21" s="952" t="s">
        <v>1683</v>
      </c>
      <c r="D21" s="961" t="s">
        <v>1684</v>
      </c>
      <c r="E21" s="962" t="s">
        <v>1685</v>
      </c>
      <c r="F21" s="963" t="s">
        <v>1622</v>
      </c>
      <c r="G21" s="963" t="s">
        <v>1622</v>
      </c>
      <c r="H21" s="964" t="s">
        <v>1670</v>
      </c>
      <c r="I21" s="964" t="str">
        <f>TEXT('15 - Priority of Payments'!J56,"### ###,00")&amp;" EUR"</f>
        <v>2 244 560,29 EUR</v>
      </c>
    </row>
    <row r="22" spans="1:10" ht="26.25" thickBot="1" x14ac:dyDescent="0.25">
      <c r="A22" s="954" t="s">
        <v>1617</v>
      </c>
      <c r="B22" s="954" t="s">
        <v>1618</v>
      </c>
      <c r="C22" s="952" t="s">
        <v>1686</v>
      </c>
      <c r="D22" s="965" t="s">
        <v>1687</v>
      </c>
      <c r="E22" s="962" t="s">
        <v>1688</v>
      </c>
      <c r="F22" s="963" t="s">
        <v>1622</v>
      </c>
      <c r="G22" s="963" t="s">
        <v>1622</v>
      </c>
      <c r="H22" s="963" t="s">
        <v>1659</v>
      </c>
      <c r="I22" s="964" t="s">
        <v>2423</v>
      </c>
    </row>
    <row r="23" spans="1:10" ht="51.75" thickBot="1" x14ac:dyDescent="0.25">
      <c r="A23" s="954" t="s">
        <v>1617</v>
      </c>
      <c r="B23" s="954" t="s">
        <v>1618</v>
      </c>
      <c r="C23" s="952" t="s">
        <v>1689</v>
      </c>
      <c r="D23" s="961" t="s">
        <v>1690</v>
      </c>
      <c r="E23" s="962" t="s">
        <v>1691</v>
      </c>
      <c r="F23" s="963" t="s">
        <v>1622</v>
      </c>
      <c r="G23" s="963" t="s">
        <v>1622</v>
      </c>
      <c r="H23" s="964" t="s">
        <v>1692</v>
      </c>
      <c r="I23" s="972">
        <f>('03 - Monthly Asset Follow up'!P17+'03 - Monthly Asset Follow up'!AV17)/('16 - Simplified Balance Sheet'!K13+'16 - Simplified Balance Sheet'!K16)</f>
        <v>1.0000006253271529</v>
      </c>
    </row>
    <row r="24" spans="1:10" ht="77.25" thickBot="1" x14ac:dyDescent="0.25">
      <c r="A24" s="954" t="s">
        <v>1617</v>
      </c>
      <c r="B24" s="954" t="s">
        <v>1618</v>
      </c>
      <c r="C24" s="952" t="s">
        <v>1693</v>
      </c>
      <c r="D24" s="961" t="s">
        <v>1694</v>
      </c>
      <c r="E24" s="962" t="s">
        <v>1695</v>
      </c>
      <c r="F24" s="963" t="s">
        <v>1622</v>
      </c>
      <c r="G24" s="963" t="s">
        <v>1622</v>
      </c>
      <c r="H24" s="964" t="s">
        <v>1692</v>
      </c>
      <c r="I24" s="986">
        <f>100*(1-((1-SUM('04 - Monthly Collection'!G13/('03 - Monthly Asset Follow up'!C17+'03 - Monthly Asset Follow up'!R17+'03 - Monthly Asset Follow up'!BC17)))^12))</f>
        <v>1.3957604809470281</v>
      </c>
    </row>
    <row r="25" spans="1:10" ht="39" thickBot="1" x14ac:dyDescent="0.25">
      <c r="A25" s="954" t="s">
        <v>1617</v>
      </c>
      <c r="B25" s="954" t="s">
        <v>1618</v>
      </c>
      <c r="C25" s="952" t="s">
        <v>1696</v>
      </c>
      <c r="D25" s="961" t="s">
        <v>1697</v>
      </c>
      <c r="E25" s="962" t="s">
        <v>1698</v>
      </c>
      <c r="F25" s="963" t="s">
        <v>1622</v>
      </c>
      <c r="G25" s="963" t="s">
        <v>1622</v>
      </c>
      <c r="H25" s="964" t="s">
        <v>1670</v>
      </c>
      <c r="I25" s="964" t="s">
        <v>2478</v>
      </c>
    </row>
    <row r="26" spans="1:10" ht="51.75" thickBot="1" x14ac:dyDescent="0.25">
      <c r="A26" s="954" t="s">
        <v>1617</v>
      </c>
      <c r="B26" s="954" t="s">
        <v>1618</v>
      </c>
      <c r="C26" s="952" t="s">
        <v>1699</v>
      </c>
      <c r="D26" s="961" t="s">
        <v>1700</v>
      </c>
      <c r="E26" s="962" t="s">
        <v>1701</v>
      </c>
      <c r="F26" s="963" t="s">
        <v>1622</v>
      </c>
      <c r="G26" s="963" t="s">
        <v>1622</v>
      </c>
      <c r="H26" s="964" t="s">
        <v>1670</v>
      </c>
      <c r="I26" s="964" t="s">
        <v>2478</v>
      </c>
      <c r="J26" s="984"/>
    </row>
    <row r="27" spans="1:10" ht="51.75" thickBot="1" x14ac:dyDescent="0.25">
      <c r="A27" s="954" t="s">
        <v>1617</v>
      </c>
      <c r="B27" s="954" t="s">
        <v>1618</v>
      </c>
      <c r="C27" s="952" t="s">
        <v>1702</v>
      </c>
      <c r="D27" s="961" t="s">
        <v>1703</v>
      </c>
      <c r="E27" s="962" t="s">
        <v>1704</v>
      </c>
      <c r="F27" s="963" t="s">
        <v>1666</v>
      </c>
      <c r="G27" s="963" t="s">
        <v>1666</v>
      </c>
      <c r="H27" s="964" t="s">
        <v>1670</v>
      </c>
      <c r="I27" s="964" t="str">
        <f>TEXT('03 - Monthly Asset Follow up'!M17+'03 - Monthly Asset Follow up'!AM17+'03 - Monthly Asset Follow up'!CL17,"### ###0,00")&amp;" EUR"</f>
        <v>0,00 EUR</v>
      </c>
      <c r="J27" s="984"/>
    </row>
    <row r="28" spans="1:10" ht="90" thickBot="1" x14ac:dyDescent="0.25">
      <c r="A28" s="954" t="s">
        <v>1617</v>
      </c>
      <c r="B28" s="954" t="s">
        <v>1618</v>
      </c>
      <c r="C28" s="952" t="s">
        <v>1705</v>
      </c>
      <c r="D28" s="961" t="s">
        <v>1706</v>
      </c>
      <c r="E28" s="962" t="s">
        <v>1707</v>
      </c>
      <c r="F28" s="963" t="s">
        <v>1622</v>
      </c>
      <c r="G28" s="963" t="s">
        <v>1622</v>
      </c>
      <c r="H28" s="964" t="s">
        <v>1670</v>
      </c>
      <c r="I28" s="964" t="s">
        <v>2478</v>
      </c>
      <c r="J28" s="983"/>
    </row>
    <row r="29" spans="1:10" ht="77.25" thickBot="1" x14ac:dyDescent="0.25">
      <c r="A29" s="954" t="s">
        <v>1617</v>
      </c>
      <c r="B29" s="954" t="s">
        <v>1618</v>
      </c>
      <c r="C29" s="952" t="s">
        <v>1708</v>
      </c>
      <c r="D29" s="961" t="s">
        <v>1709</v>
      </c>
      <c r="E29" s="962" t="s">
        <v>1710</v>
      </c>
      <c r="F29" s="963" t="s">
        <v>1622</v>
      </c>
      <c r="G29" s="963" t="s">
        <v>1622</v>
      </c>
      <c r="H29" s="964" t="s">
        <v>1692</v>
      </c>
      <c r="I29" s="988">
        <f>100*(1-((1-(('03 - Monthly Asset Follow up'!BO17+'03 - Monthly Asset Follow up'!CU17)/'16 - Simplified Balance Sheet'!F14))^12))</f>
        <v>6.1759815182638178E-3</v>
      </c>
      <c r="J29" s="985"/>
    </row>
    <row r="30" spans="1:10" ht="51.75" thickBot="1" x14ac:dyDescent="0.25">
      <c r="A30" s="954" t="s">
        <v>1617</v>
      </c>
      <c r="B30" s="954" t="s">
        <v>1618</v>
      </c>
      <c r="C30" s="952" t="s">
        <v>1711</v>
      </c>
      <c r="D30" s="961" t="s">
        <v>1712</v>
      </c>
      <c r="E30" s="962" t="s">
        <v>1713</v>
      </c>
      <c r="F30" s="963" t="s">
        <v>1622</v>
      </c>
      <c r="G30" s="963" t="s">
        <v>1622</v>
      </c>
      <c r="H30" s="964" t="s">
        <v>1670</v>
      </c>
      <c r="I30" s="964" t="str">
        <f>TEXT('03 - Monthly Asset Follow up'!BO17+'03 - Monthly Asset Follow up'!CU17,"### ###0,00")&amp;" EUR"</f>
        <v>3 515,46 EUR</v>
      </c>
    </row>
    <row r="31" spans="1:10" ht="51.75" thickBot="1" x14ac:dyDescent="0.25">
      <c r="A31" s="954" t="s">
        <v>1617</v>
      </c>
      <c r="B31" s="954" t="s">
        <v>1618</v>
      </c>
      <c r="C31" s="952" t="s">
        <v>1714</v>
      </c>
      <c r="D31" s="961" t="s">
        <v>1715</v>
      </c>
      <c r="E31" s="962" t="s">
        <v>1716</v>
      </c>
      <c r="F31" s="963" t="s">
        <v>1666</v>
      </c>
      <c r="G31" s="963" t="s">
        <v>1666</v>
      </c>
      <c r="H31" s="964" t="s">
        <v>1670</v>
      </c>
      <c r="I31" s="964" t="s">
        <v>2424</v>
      </c>
    </row>
    <row r="32" spans="1:10" ht="77.25" thickBot="1" x14ac:dyDescent="0.25">
      <c r="A32" s="954" t="s">
        <v>1617</v>
      </c>
      <c r="B32" s="954" t="s">
        <v>1618</v>
      </c>
      <c r="C32" s="952" t="s">
        <v>1717</v>
      </c>
      <c r="D32" s="961" t="s">
        <v>1718</v>
      </c>
      <c r="E32" s="962" t="s">
        <v>1719</v>
      </c>
      <c r="F32" s="963" t="s">
        <v>1622</v>
      </c>
      <c r="G32" s="963" t="s">
        <v>1666</v>
      </c>
      <c r="H32" s="964" t="s">
        <v>1649</v>
      </c>
      <c r="I32" s="964" t="s">
        <v>2424</v>
      </c>
    </row>
    <row r="33" spans="1:38" ht="39" thickBot="1" x14ac:dyDescent="0.25">
      <c r="A33" s="954" t="s">
        <v>1617</v>
      </c>
      <c r="B33" s="954" t="s">
        <v>1618</v>
      </c>
      <c r="C33" s="952" t="s">
        <v>1720</v>
      </c>
      <c r="D33" s="961" t="s">
        <v>1721</v>
      </c>
      <c r="E33" s="962" t="s">
        <v>1722</v>
      </c>
      <c r="F33" s="963" t="s">
        <v>1622</v>
      </c>
      <c r="G33" s="963" t="s">
        <v>1666</v>
      </c>
      <c r="H33" s="964" t="s">
        <v>1692</v>
      </c>
      <c r="I33" s="964" t="s">
        <v>2424</v>
      </c>
    </row>
    <row r="34" spans="1:38" ht="39" thickBot="1" x14ac:dyDescent="0.25">
      <c r="A34" s="954" t="s">
        <v>1617</v>
      </c>
      <c r="B34" s="954" t="s">
        <v>1618</v>
      </c>
      <c r="C34" s="952" t="s">
        <v>1723</v>
      </c>
      <c r="D34" s="961" t="s">
        <v>1724</v>
      </c>
      <c r="E34" s="962" t="s">
        <v>1725</v>
      </c>
      <c r="F34" s="963" t="s">
        <v>1622</v>
      </c>
      <c r="G34" s="963" t="s">
        <v>1666</v>
      </c>
      <c r="H34" s="964" t="s">
        <v>1692</v>
      </c>
      <c r="I34" s="964" t="s">
        <v>2424</v>
      </c>
    </row>
    <row r="35" spans="1:38" ht="39" thickBot="1" x14ac:dyDescent="0.25">
      <c r="A35" s="954" t="s">
        <v>1617</v>
      </c>
      <c r="B35" s="954" t="s">
        <v>1618</v>
      </c>
      <c r="C35" s="952" t="s">
        <v>1726</v>
      </c>
      <c r="D35" s="961" t="s">
        <v>1727</v>
      </c>
      <c r="E35" s="962" t="s">
        <v>1728</v>
      </c>
      <c r="F35" s="963" t="s">
        <v>1622</v>
      </c>
      <c r="G35" s="963" t="s">
        <v>1666</v>
      </c>
      <c r="H35" s="964" t="s">
        <v>1692</v>
      </c>
      <c r="I35" s="964" t="s">
        <v>2424</v>
      </c>
    </row>
    <row r="36" spans="1:38" ht="39" thickBot="1" x14ac:dyDescent="0.25">
      <c r="A36" s="954" t="s">
        <v>1617</v>
      </c>
      <c r="B36" s="954" t="s">
        <v>1618</v>
      </c>
      <c r="C36" s="952" t="s">
        <v>1729</v>
      </c>
      <c r="D36" s="961" t="s">
        <v>1730</v>
      </c>
      <c r="E36" s="962" t="s">
        <v>1731</v>
      </c>
      <c r="F36" s="963" t="s">
        <v>1622</v>
      </c>
      <c r="G36" s="963" t="s">
        <v>1666</v>
      </c>
      <c r="H36" s="964" t="s">
        <v>1692</v>
      </c>
      <c r="I36" s="964" t="s">
        <v>2424</v>
      </c>
    </row>
    <row r="37" spans="1:38" ht="39" thickBot="1" x14ac:dyDescent="0.25">
      <c r="A37" s="954" t="s">
        <v>1617</v>
      </c>
      <c r="B37" s="954" t="s">
        <v>1618</v>
      </c>
      <c r="C37" s="952" t="s">
        <v>1732</v>
      </c>
      <c r="D37" s="961" t="s">
        <v>1733</v>
      </c>
      <c r="E37" s="962" t="s">
        <v>1734</v>
      </c>
      <c r="F37" s="963" t="s">
        <v>1622</v>
      </c>
      <c r="G37" s="963" t="s">
        <v>1666</v>
      </c>
      <c r="H37" s="964" t="s">
        <v>1692</v>
      </c>
      <c r="I37" s="964" t="s">
        <v>2424</v>
      </c>
    </row>
    <row r="38" spans="1:38" ht="51.75" thickBot="1" x14ac:dyDescent="0.25">
      <c r="A38" s="954" t="s">
        <v>1617</v>
      </c>
      <c r="B38" s="954" t="s">
        <v>1618</v>
      </c>
      <c r="C38" s="952" t="s">
        <v>1735</v>
      </c>
      <c r="D38" s="961" t="s">
        <v>1736</v>
      </c>
      <c r="E38" s="962" t="s">
        <v>1737</v>
      </c>
      <c r="F38" s="963" t="s">
        <v>1622</v>
      </c>
      <c r="G38" s="963" t="s">
        <v>1666</v>
      </c>
      <c r="H38" s="964" t="s">
        <v>1692</v>
      </c>
      <c r="I38" s="964" t="s">
        <v>2424</v>
      </c>
    </row>
    <row r="39" spans="1:38" ht="39" thickBot="1" x14ac:dyDescent="0.25">
      <c r="A39" s="954" t="s">
        <v>1617</v>
      </c>
      <c r="B39" s="954" t="s">
        <v>1618</v>
      </c>
      <c r="C39" s="952" t="s">
        <v>1738</v>
      </c>
      <c r="D39" s="961" t="s">
        <v>1739</v>
      </c>
      <c r="E39" s="962" t="s">
        <v>1740</v>
      </c>
      <c r="F39" s="963" t="s">
        <v>1622</v>
      </c>
      <c r="G39" s="963" t="s">
        <v>1666</v>
      </c>
      <c r="H39" s="964" t="s">
        <v>1692</v>
      </c>
      <c r="I39" s="964" t="s">
        <v>2424</v>
      </c>
    </row>
    <row r="40" spans="1:38" ht="51.75" thickBot="1" x14ac:dyDescent="0.25">
      <c r="A40" s="954" t="s">
        <v>1617</v>
      </c>
      <c r="B40" s="954" t="s">
        <v>1618</v>
      </c>
      <c r="C40" s="952" t="s">
        <v>1741</v>
      </c>
      <c r="D40" s="961" t="s">
        <v>1742</v>
      </c>
      <c r="E40" s="962" t="s">
        <v>1743</v>
      </c>
      <c r="F40" s="963" t="s">
        <v>1622</v>
      </c>
      <c r="G40" s="963" t="s">
        <v>1622</v>
      </c>
      <c r="H40" s="964" t="s">
        <v>1692</v>
      </c>
      <c r="I40" s="986">
        <f>'08 - Delinquent Home Loans Stat'!E12/'16 - Simplified Balance Sheet'!F14</f>
        <v>3.7727301403904494E-3</v>
      </c>
      <c r="J40" s="5"/>
    </row>
    <row r="41" spans="1:38" ht="51.75" thickBot="1" x14ac:dyDescent="0.25">
      <c r="A41" s="954" t="s">
        <v>1617</v>
      </c>
      <c r="B41" s="954" t="s">
        <v>1618</v>
      </c>
      <c r="C41" s="952" t="s">
        <v>1744</v>
      </c>
      <c r="D41" s="961" t="s">
        <v>1745</v>
      </c>
      <c r="E41" s="962" t="s">
        <v>1746</v>
      </c>
      <c r="F41" s="963" t="s">
        <v>1622</v>
      </c>
      <c r="G41" s="963" t="s">
        <v>1622</v>
      </c>
      <c r="H41" s="964" t="s">
        <v>1692</v>
      </c>
      <c r="I41" s="986">
        <f>'08 - Delinquent Home Loans Stat'!G12/'16 - Simplified Balance Sheet'!F14</f>
        <v>8.89588334455739E-4</v>
      </c>
    </row>
    <row r="42" spans="1:38" ht="51.75" thickBot="1" x14ac:dyDescent="0.25">
      <c r="A42" s="954" t="s">
        <v>1617</v>
      </c>
      <c r="B42" s="954" t="s">
        <v>1618</v>
      </c>
      <c r="C42" s="952" t="s">
        <v>1747</v>
      </c>
      <c r="D42" s="961" t="s">
        <v>1748</v>
      </c>
      <c r="E42" s="962" t="s">
        <v>1749</v>
      </c>
      <c r="F42" s="963" t="s">
        <v>1622</v>
      </c>
      <c r="G42" s="963" t="s">
        <v>1622</v>
      </c>
      <c r="H42" s="964" t="s">
        <v>1692</v>
      </c>
      <c r="I42" s="986">
        <f>'08 - Delinquent Home Loans Stat'!I12/'16 - Simplified Balance Sheet'!F14</f>
        <v>0</v>
      </c>
    </row>
    <row r="43" spans="1:38" ht="51.75" thickBot="1" x14ac:dyDescent="0.25">
      <c r="A43" s="954" t="s">
        <v>1617</v>
      </c>
      <c r="B43" s="954" t="s">
        <v>1618</v>
      </c>
      <c r="C43" s="952" t="s">
        <v>1750</v>
      </c>
      <c r="D43" s="961" t="s">
        <v>1751</v>
      </c>
      <c r="E43" s="962" t="s">
        <v>1752</v>
      </c>
      <c r="F43" s="963" t="s">
        <v>1622</v>
      </c>
      <c r="G43" s="963" t="s">
        <v>1622</v>
      </c>
      <c r="H43" s="964" t="s">
        <v>1692</v>
      </c>
      <c r="I43" s="986">
        <f>157622.94/'16 - Simplified Balance Sheet'!F14</f>
        <v>2.3076731569841313E-4</v>
      </c>
    </row>
    <row r="44" spans="1:38" ht="51.75" thickBot="1" x14ac:dyDescent="0.25">
      <c r="A44" s="954" t="s">
        <v>1617</v>
      </c>
      <c r="B44" s="954" t="s">
        <v>1618</v>
      </c>
      <c r="C44" s="952" t="s">
        <v>1753</v>
      </c>
      <c r="D44" s="961" t="s">
        <v>1754</v>
      </c>
      <c r="E44" s="962" t="s">
        <v>1755</v>
      </c>
      <c r="F44" s="963" t="s">
        <v>1622</v>
      </c>
      <c r="G44" s="963" t="s">
        <v>1622</v>
      </c>
      <c r="H44" s="964" t="s">
        <v>1692</v>
      </c>
      <c r="I44" s="986">
        <v>0</v>
      </c>
    </row>
    <row r="45" spans="1:38" ht="51.75" thickBot="1" x14ac:dyDescent="0.25">
      <c r="A45" s="954" t="s">
        <v>1617</v>
      </c>
      <c r="B45" s="954" t="s">
        <v>1618</v>
      </c>
      <c r="C45" s="952" t="s">
        <v>1756</v>
      </c>
      <c r="D45" s="961" t="s">
        <v>1757</v>
      </c>
      <c r="E45" s="962" t="s">
        <v>1758</v>
      </c>
      <c r="F45" s="963" t="s">
        <v>1622</v>
      </c>
      <c r="G45" s="963" t="s">
        <v>1622</v>
      </c>
      <c r="H45" s="964" t="s">
        <v>1692</v>
      </c>
      <c r="I45" s="986">
        <v>0</v>
      </c>
    </row>
    <row r="46" spans="1:38" ht="51.75" thickBot="1" x14ac:dyDescent="0.25">
      <c r="A46" s="954" t="s">
        <v>1617</v>
      </c>
      <c r="B46" s="954" t="s">
        <v>1618</v>
      </c>
      <c r="C46" s="952" t="s">
        <v>1759</v>
      </c>
      <c r="D46" s="961" t="s">
        <v>1760</v>
      </c>
      <c r="E46" s="962" t="s">
        <v>1761</v>
      </c>
      <c r="F46" s="963" t="s">
        <v>1622</v>
      </c>
      <c r="G46" s="963" t="s">
        <v>1622</v>
      </c>
      <c r="H46" s="964" t="s">
        <v>1692</v>
      </c>
      <c r="I46" s="986">
        <v>0</v>
      </c>
    </row>
    <row r="47" spans="1:38" ht="26.25" thickBot="1" x14ac:dyDescent="0.25">
      <c r="A47" s="954" t="s">
        <v>1617</v>
      </c>
      <c r="B47" s="954" t="s">
        <v>1762</v>
      </c>
      <c r="C47" s="955" t="s">
        <v>1762</v>
      </c>
      <c r="D47" s="956"/>
      <c r="E47" s="957"/>
      <c r="F47" s="958" t="s">
        <v>657</v>
      </c>
      <c r="G47" s="958" t="s">
        <v>657</v>
      </c>
      <c r="H47" s="959"/>
      <c r="I47" s="960"/>
    </row>
    <row r="48" spans="1:38" ht="26.25" thickBot="1" x14ac:dyDescent="0.25">
      <c r="A48" s="954" t="s">
        <v>1617</v>
      </c>
      <c r="B48" s="954" t="s">
        <v>1762</v>
      </c>
      <c r="C48" s="952" t="s">
        <v>1763</v>
      </c>
      <c r="D48" s="961" t="s">
        <v>1620</v>
      </c>
      <c r="E48" s="962" t="s">
        <v>1764</v>
      </c>
      <c r="F48" s="963" t="s">
        <v>1622</v>
      </c>
      <c r="G48" s="963" t="s">
        <v>1622</v>
      </c>
      <c r="H48" s="964" t="s">
        <v>1623</v>
      </c>
      <c r="I48" s="971" t="str">
        <f>$I$3</f>
        <v>969500Z05GRNU3KPEY94</v>
      </c>
      <c r="J48" s="971" t="str">
        <f t="shared" ref="J48:AL48" si="0">$I$3</f>
        <v>969500Z05GRNU3KPEY94</v>
      </c>
      <c r="K48" s="971" t="str">
        <f t="shared" si="0"/>
        <v>969500Z05GRNU3KPEY94</v>
      </c>
      <c r="L48" s="971" t="str">
        <f t="shared" si="0"/>
        <v>969500Z05GRNU3KPEY94</v>
      </c>
      <c r="M48" s="971" t="str">
        <f t="shared" si="0"/>
        <v>969500Z05GRNU3KPEY94</v>
      </c>
      <c r="N48" s="971" t="str">
        <f t="shared" si="0"/>
        <v>969500Z05GRNU3KPEY94</v>
      </c>
      <c r="O48" s="971" t="str">
        <f t="shared" si="0"/>
        <v>969500Z05GRNU3KPEY94</v>
      </c>
      <c r="P48" s="971" t="str">
        <f t="shared" si="0"/>
        <v>969500Z05GRNU3KPEY94</v>
      </c>
      <c r="Q48" s="971" t="str">
        <f t="shared" si="0"/>
        <v>969500Z05GRNU3KPEY94</v>
      </c>
      <c r="R48" s="971" t="str">
        <f t="shared" si="0"/>
        <v>969500Z05GRNU3KPEY94</v>
      </c>
      <c r="S48" s="971" t="str">
        <f t="shared" si="0"/>
        <v>969500Z05GRNU3KPEY94</v>
      </c>
      <c r="T48" s="971" t="str">
        <f t="shared" si="0"/>
        <v>969500Z05GRNU3KPEY94</v>
      </c>
      <c r="U48" s="971" t="str">
        <f t="shared" si="0"/>
        <v>969500Z05GRNU3KPEY94</v>
      </c>
      <c r="V48" s="971" t="str">
        <f t="shared" si="0"/>
        <v>969500Z05GRNU3KPEY94</v>
      </c>
      <c r="W48" s="971" t="str">
        <f t="shared" si="0"/>
        <v>969500Z05GRNU3KPEY94</v>
      </c>
      <c r="X48" s="971" t="str">
        <f t="shared" si="0"/>
        <v>969500Z05GRNU3KPEY94</v>
      </c>
      <c r="Y48" s="971" t="str">
        <f t="shared" si="0"/>
        <v>969500Z05GRNU3KPEY94</v>
      </c>
      <c r="Z48" s="971" t="str">
        <f t="shared" si="0"/>
        <v>969500Z05GRNU3KPEY94</v>
      </c>
      <c r="AA48" s="971" t="str">
        <f t="shared" si="0"/>
        <v>969500Z05GRNU3KPEY94</v>
      </c>
      <c r="AB48" s="971" t="str">
        <f t="shared" si="0"/>
        <v>969500Z05GRNU3KPEY94</v>
      </c>
      <c r="AC48" s="971" t="str">
        <f t="shared" si="0"/>
        <v>969500Z05GRNU3KPEY94</v>
      </c>
      <c r="AD48" s="971" t="str">
        <f t="shared" si="0"/>
        <v>969500Z05GRNU3KPEY94</v>
      </c>
      <c r="AE48" s="971" t="str">
        <f t="shared" si="0"/>
        <v>969500Z05GRNU3KPEY94</v>
      </c>
      <c r="AF48" s="971" t="str">
        <f t="shared" si="0"/>
        <v>969500Z05GRNU3KPEY94</v>
      </c>
      <c r="AG48" s="971" t="str">
        <f t="shared" si="0"/>
        <v>969500Z05GRNU3KPEY94</v>
      </c>
      <c r="AH48" s="971" t="str">
        <f t="shared" si="0"/>
        <v>969500Z05GRNU3KPEY94</v>
      </c>
      <c r="AI48" s="971" t="str">
        <f t="shared" si="0"/>
        <v>969500Z05GRNU3KPEY94</v>
      </c>
      <c r="AJ48" s="971" t="str">
        <f t="shared" si="0"/>
        <v>969500Z05GRNU3KPEY94</v>
      </c>
      <c r="AK48" s="971" t="str">
        <f t="shared" si="0"/>
        <v>969500Z05GRNU3KPEY94</v>
      </c>
      <c r="AL48" s="971" t="str">
        <f t="shared" si="0"/>
        <v>969500Z05GRNU3KPEY94</v>
      </c>
    </row>
    <row r="49" spans="1:41" ht="39" thickBot="1" x14ac:dyDescent="0.25">
      <c r="A49" s="954" t="s">
        <v>1617</v>
      </c>
      <c r="B49" s="954" t="s">
        <v>1762</v>
      </c>
      <c r="C49" s="952" t="s">
        <v>1765</v>
      </c>
      <c r="D49" s="961" t="s">
        <v>1766</v>
      </c>
      <c r="E49" s="962" t="s">
        <v>1767</v>
      </c>
      <c r="F49" s="963" t="s">
        <v>1622</v>
      </c>
      <c r="G49" s="963" t="s">
        <v>1622</v>
      </c>
      <c r="H49" s="964" t="s">
        <v>1768</v>
      </c>
      <c r="I49" s="964" t="s">
        <v>2448</v>
      </c>
      <c r="J49" s="964" t="s">
        <v>2449</v>
      </c>
      <c r="K49" s="964" t="s">
        <v>2450</v>
      </c>
      <c r="L49" s="964" t="s">
        <v>2451</v>
      </c>
      <c r="M49" s="964" t="s">
        <v>2452</v>
      </c>
      <c r="N49" s="964" t="s">
        <v>2453</v>
      </c>
      <c r="O49" s="964" t="s">
        <v>2454</v>
      </c>
      <c r="P49" s="964" t="s">
        <v>2455</v>
      </c>
      <c r="Q49" s="964" t="s">
        <v>2456</v>
      </c>
      <c r="R49" s="964" t="s">
        <v>2457</v>
      </c>
      <c r="S49" s="964" t="s">
        <v>2458</v>
      </c>
      <c r="T49" s="964" t="s">
        <v>2459</v>
      </c>
      <c r="U49" s="964" t="s">
        <v>2460</v>
      </c>
      <c r="V49" s="964" t="s">
        <v>2461</v>
      </c>
      <c r="W49" s="981" t="s">
        <v>2466</v>
      </c>
      <c r="X49" s="981" t="s">
        <v>2467</v>
      </c>
      <c r="Y49" s="981" t="s">
        <v>2468</v>
      </c>
      <c r="Z49" s="981" t="s">
        <v>2469</v>
      </c>
      <c r="AA49" s="981" t="s">
        <v>2462</v>
      </c>
      <c r="AB49" s="981" t="s">
        <v>2463</v>
      </c>
      <c r="AC49" s="981" t="s">
        <v>2464</v>
      </c>
      <c r="AD49" s="981" t="s">
        <v>2465</v>
      </c>
      <c r="AE49" s="981" t="s">
        <v>2470</v>
      </c>
      <c r="AF49" s="981" t="s">
        <v>2471</v>
      </c>
      <c r="AG49" s="981" t="s">
        <v>2472</v>
      </c>
      <c r="AH49" s="981" t="s">
        <v>2473</v>
      </c>
      <c r="AI49" s="981" t="s">
        <v>2474</v>
      </c>
      <c r="AJ49" s="981" t="s">
        <v>2475</v>
      </c>
      <c r="AK49" s="981" t="s">
        <v>2476</v>
      </c>
      <c r="AL49" s="981" t="s">
        <v>2477</v>
      </c>
    </row>
    <row r="50" spans="1:41" ht="39" thickBot="1" x14ac:dyDescent="0.25">
      <c r="A50" s="954" t="s">
        <v>1617</v>
      </c>
      <c r="B50" s="954" t="s">
        <v>1762</v>
      </c>
      <c r="C50" s="952" t="s">
        <v>1769</v>
      </c>
      <c r="D50" s="961" t="s">
        <v>1770</v>
      </c>
      <c r="E50" s="962" t="s">
        <v>1771</v>
      </c>
      <c r="F50" s="963" t="s">
        <v>1622</v>
      </c>
      <c r="G50" s="963" t="s">
        <v>1622</v>
      </c>
      <c r="H50" s="964" t="s">
        <v>1768</v>
      </c>
      <c r="I50" s="964" t="str">
        <f>I49</f>
        <v>Issuer_Liquidation_Event1</v>
      </c>
      <c r="J50" s="964" t="str">
        <f t="shared" ref="J50:M50" si="1">J49</f>
        <v>Issuer_Liquidation_Event2</v>
      </c>
      <c r="K50" s="964" t="str">
        <f t="shared" si="1"/>
        <v>Issuer_Liquidation_Event3</v>
      </c>
      <c r="L50" s="964" t="str">
        <f t="shared" si="1"/>
        <v>Issuer_Liquidation_Event4</v>
      </c>
      <c r="M50" s="964" t="str">
        <f t="shared" si="1"/>
        <v>Issuer_Liquidation_Event5</v>
      </c>
      <c r="N50" s="964" t="str">
        <f t="shared" ref="N50" si="2">N49</f>
        <v>Accelerated_Redemption_Event_1</v>
      </c>
      <c r="O50" s="964" t="str">
        <f t="shared" ref="O50" si="3">O49</f>
        <v>Accelerated_Redemption_Event_2</v>
      </c>
      <c r="P50" s="964" t="str">
        <f t="shared" ref="P50" si="4">P49</f>
        <v>Servicer_Termination_Event1</v>
      </c>
      <c r="Q50" s="964" t="str">
        <f t="shared" ref="Q50" si="5">Q49</f>
        <v>Servicer_Termination_Event2</v>
      </c>
      <c r="R50" s="964" t="str">
        <f t="shared" ref="R50" si="6">R49</f>
        <v>Servicer_Termination_Event3</v>
      </c>
      <c r="S50" s="964" t="str">
        <f t="shared" ref="S50" si="7">S49</f>
        <v>Servicer_Termination_Event4</v>
      </c>
      <c r="T50" s="964" t="str">
        <f t="shared" ref="T50" si="8">T49</f>
        <v>Servicer_Termination_Event5</v>
      </c>
      <c r="U50" s="964" t="str">
        <f t="shared" ref="U50" si="9">U49</f>
        <v>Servicer_Termination_Event6</v>
      </c>
      <c r="V50" s="964" t="str">
        <f t="shared" ref="V50" si="10">V49</f>
        <v>Servicer_Termination_Event7</v>
      </c>
      <c r="W50" s="964" t="str">
        <f t="shared" ref="W50" si="11">W49</f>
        <v>Custodian_Termination_Event1</v>
      </c>
      <c r="X50" s="964" t="str">
        <f t="shared" ref="X50" si="12">X49</f>
        <v>Custodian_Termination_Event2</v>
      </c>
      <c r="Y50" s="964" t="str">
        <f t="shared" ref="Y50" si="13">Y49</f>
        <v>Custodian_Termination_Event3</v>
      </c>
      <c r="Z50" s="964" t="str">
        <f t="shared" ref="Z50" si="14">Z49</f>
        <v>Custodian_Termination_Event4</v>
      </c>
      <c r="AA50" s="964" t="str">
        <f t="shared" ref="AA50" si="15">AA49</f>
        <v>Management_Termination_Event1</v>
      </c>
      <c r="AB50" s="964" t="str">
        <f t="shared" ref="AB50" si="16">AB49</f>
        <v>Management_Termination_Event2</v>
      </c>
      <c r="AC50" s="964" t="str">
        <f t="shared" ref="AC50" si="17">AC49</f>
        <v>Management_Termination_Event3</v>
      </c>
      <c r="AD50" s="964" t="str">
        <f t="shared" ref="AD50" si="18">AD49</f>
        <v>Management_Termination_Event4</v>
      </c>
      <c r="AE50" s="964" t="str">
        <f t="shared" ref="AE50" si="19">AE49</f>
        <v>Management_Termination_Event5</v>
      </c>
      <c r="AF50" s="964" t="str">
        <f t="shared" ref="AF50" si="20">AF49</f>
        <v>Management_Termination_Event6</v>
      </c>
      <c r="AG50" s="964" t="str">
        <f t="shared" ref="AG50" si="21">AG49</f>
        <v>Management_Termination_Event7</v>
      </c>
      <c r="AH50" s="964" t="str">
        <f t="shared" ref="AH50" si="22">AH49</f>
        <v>Account_Bank_Termination_Event1</v>
      </c>
      <c r="AI50" s="964" t="str">
        <f t="shared" ref="AI50" si="23">AI49</f>
        <v>Account_Bank_Termination_Event2</v>
      </c>
      <c r="AJ50" s="964" t="str">
        <f t="shared" ref="AJ50" si="24">AJ49</f>
        <v>Account_Bank_Termination_Event3</v>
      </c>
      <c r="AK50" s="964" t="str">
        <f t="shared" ref="AK50" si="25">AK49</f>
        <v>Account_Bank_Termination_Event4</v>
      </c>
      <c r="AL50" s="964" t="str">
        <f t="shared" ref="AL50" si="26">AL49</f>
        <v>Account_Bank_Termination_Event5</v>
      </c>
    </row>
    <row r="51" spans="1:41" ht="54" customHeight="1" thickBot="1" x14ac:dyDescent="0.25">
      <c r="A51" s="954" t="s">
        <v>1617</v>
      </c>
      <c r="B51" s="954" t="s">
        <v>1762</v>
      </c>
      <c r="C51" s="952" t="s">
        <v>1772</v>
      </c>
      <c r="D51" s="961" t="s">
        <v>1773</v>
      </c>
      <c r="E51" s="962" t="s">
        <v>1774</v>
      </c>
      <c r="F51" s="963" t="s">
        <v>1622</v>
      </c>
      <c r="G51" s="963" t="s">
        <v>1622</v>
      </c>
      <c r="H51" s="964" t="s">
        <v>1775</v>
      </c>
      <c r="I51" s="964" t="s">
        <v>752</v>
      </c>
      <c r="J51" s="964" t="s">
        <v>753</v>
      </c>
      <c r="K51" s="964" t="s">
        <v>754</v>
      </c>
      <c r="L51" s="964" t="s">
        <v>755</v>
      </c>
      <c r="M51" s="964" t="s">
        <v>756</v>
      </c>
      <c r="N51" s="964" t="s">
        <v>758</v>
      </c>
      <c r="O51" s="964" t="s">
        <v>759</v>
      </c>
      <c r="P51" s="964" t="s">
        <v>806</v>
      </c>
      <c r="Q51" s="964" t="s">
        <v>807</v>
      </c>
      <c r="R51" s="964" t="s">
        <v>808</v>
      </c>
      <c r="S51" s="964" t="s">
        <v>809</v>
      </c>
      <c r="T51" s="964" t="s">
        <v>810</v>
      </c>
      <c r="U51" s="964" t="s">
        <v>811</v>
      </c>
      <c r="V51" s="964" t="s">
        <v>812</v>
      </c>
      <c r="W51" s="964" t="s">
        <v>761</v>
      </c>
      <c r="X51" s="964" t="s">
        <v>762</v>
      </c>
      <c r="Y51" s="964" t="s">
        <v>763</v>
      </c>
      <c r="Z51" s="964" t="s">
        <v>764</v>
      </c>
      <c r="AA51" s="964" t="s">
        <v>766</v>
      </c>
      <c r="AB51" s="964" t="s">
        <v>767</v>
      </c>
      <c r="AC51" s="964" t="s">
        <v>768</v>
      </c>
      <c r="AD51" s="964" t="s">
        <v>769</v>
      </c>
      <c r="AE51" s="964" t="s">
        <v>770</v>
      </c>
      <c r="AF51" s="964" t="s">
        <v>771</v>
      </c>
      <c r="AG51" s="964" t="s">
        <v>772</v>
      </c>
      <c r="AH51" s="964" t="s">
        <v>814</v>
      </c>
      <c r="AI51" s="964" t="s">
        <v>815</v>
      </c>
      <c r="AJ51" s="964" t="s">
        <v>816</v>
      </c>
      <c r="AK51" s="964" t="s">
        <v>817</v>
      </c>
      <c r="AL51" s="964" t="s">
        <v>818</v>
      </c>
      <c r="AM51" s="26"/>
      <c r="AO51" s="26"/>
    </row>
    <row r="52" spans="1:41" ht="39" thickBot="1" x14ac:dyDescent="0.25">
      <c r="A52" s="954" t="s">
        <v>1617</v>
      </c>
      <c r="B52" s="954" t="s">
        <v>1762</v>
      </c>
      <c r="C52" s="952" t="s">
        <v>1776</v>
      </c>
      <c r="D52" s="961" t="s">
        <v>1777</v>
      </c>
      <c r="E52" s="962" t="s">
        <v>1778</v>
      </c>
      <c r="F52" s="963" t="s">
        <v>1622</v>
      </c>
      <c r="G52" s="963" t="s">
        <v>1666</v>
      </c>
      <c r="H52" s="964" t="s">
        <v>1779</v>
      </c>
      <c r="I52" s="964" t="s">
        <v>2424</v>
      </c>
      <c r="J52" s="964" t="s">
        <v>2424</v>
      </c>
      <c r="K52" s="964" t="s">
        <v>2424</v>
      </c>
      <c r="L52" s="964" t="s">
        <v>2424</v>
      </c>
      <c r="M52" s="964" t="s">
        <v>2424</v>
      </c>
      <c r="N52" s="964" t="s">
        <v>2424</v>
      </c>
      <c r="O52" s="964" t="s">
        <v>2424</v>
      </c>
      <c r="P52" s="964" t="s">
        <v>2424</v>
      </c>
      <c r="Q52" s="964" t="s">
        <v>2424</v>
      </c>
      <c r="R52" s="964" t="s">
        <v>2424</v>
      </c>
      <c r="S52" s="964" t="s">
        <v>2424</v>
      </c>
      <c r="T52" s="964" t="s">
        <v>2424</v>
      </c>
      <c r="U52" s="964" t="s">
        <v>2424</v>
      </c>
      <c r="V52" s="964" t="s">
        <v>2424</v>
      </c>
      <c r="W52" s="964" t="s">
        <v>2424</v>
      </c>
      <c r="X52" s="964" t="s">
        <v>2424</v>
      </c>
      <c r="Y52" s="964" t="s">
        <v>2424</v>
      </c>
      <c r="Z52" s="964" t="s">
        <v>2424</v>
      </c>
      <c r="AA52" s="964" t="s">
        <v>2424</v>
      </c>
      <c r="AB52" s="964" t="s">
        <v>2424</v>
      </c>
      <c r="AC52" s="964" t="s">
        <v>2424</v>
      </c>
      <c r="AD52" s="964" t="s">
        <v>2424</v>
      </c>
      <c r="AE52" s="964" t="s">
        <v>2424</v>
      </c>
      <c r="AF52" s="964" t="s">
        <v>2424</v>
      </c>
      <c r="AG52" s="964" t="s">
        <v>2424</v>
      </c>
      <c r="AH52" s="964" t="s">
        <v>2424</v>
      </c>
      <c r="AI52" s="964" t="s">
        <v>2424</v>
      </c>
      <c r="AJ52" s="964" t="s">
        <v>2424</v>
      </c>
      <c r="AK52" s="964" t="s">
        <v>2424</v>
      </c>
      <c r="AL52" s="964" t="s">
        <v>2424</v>
      </c>
      <c r="AM52" s="26"/>
      <c r="AO52" s="26"/>
    </row>
    <row r="53" spans="1:41" ht="51.75" thickBot="1" x14ac:dyDescent="0.25">
      <c r="A53" s="954" t="s">
        <v>1617</v>
      </c>
      <c r="B53" s="954" t="s">
        <v>1762</v>
      </c>
      <c r="C53" s="952" t="s">
        <v>1780</v>
      </c>
      <c r="D53" s="961" t="s">
        <v>1781</v>
      </c>
      <c r="E53" s="962" t="s">
        <v>1782</v>
      </c>
      <c r="F53" s="963" t="s">
        <v>1622</v>
      </c>
      <c r="G53" s="963" t="s">
        <v>1666</v>
      </c>
      <c r="H53" s="964" t="s">
        <v>1779</v>
      </c>
      <c r="I53" s="964" t="s">
        <v>2424</v>
      </c>
      <c r="J53" s="964" t="s">
        <v>2424</v>
      </c>
      <c r="K53" s="964" t="s">
        <v>2424</v>
      </c>
      <c r="L53" s="964" t="s">
        <v>2424</v>
      </c>
      <c r="M53" s="964" t="s">
        <v>2424</v>
      </c>
      <c r="N53" s="964" t="s">
        <v>2424</v>
      </c>
      <c r="O53" s="964" t="s">
        <v>2424</v>
      </c>
      <c r="P53" s="964" t="s">
        <v>2424</v>
      </c>
      <c r="Q53" s="964" t="s">
        <v>2424</v>
      </c>
      <c r="R53" s="964" t="s">
        <v>2424</v>
      </c>
      <c r="S53" s="964" t="s">
        <v>2424</v>
      </c>
      <c r="T53" s="964" t="s">
        <v>2424</v>
      </c>
      <c r="U53" s="964" t="s">
        <v>2424</v>
      </c>
      <c r="V53" s="964" t="s">
        <v>2424</v>
      </c>
      <c r="W53" s="964" t="s">
        <v>2424</v>
      </c>
      <c r="X53" s="964" t="s">
        <v>2424</v>
      </c>
      <c r="Y53" s="964" t="s">
        <v>2424</v>
      </c>
      <c r="Z53" s="964" t="s">
        <v>2424</v>
      </c>
      <c r="AA53" s="964" t="s">
        <v>2424</v>
      </c>
      <c r="AB53" s="964" t="s">
        <v>2424</v>
      </c>
      <c r="AC53" s="964" t="s">
        <v>2424</v>
      </c>
      <c r="AD53" s="964" t="s">
        <v>2424</v>
      </c>
      <c r="AE53" s="964" t="s">
        <v>2424</v>
      </c>
      <c r="AF53" s="964" t="s">
        <v>2424</v>
      </c>
      <c r="AG53" s="964" t="s">
        <v>2424</v>
      </c>
      <c r="AH53" s="964" t="s">
        <v>2424</v>
      </c>
      <c r="AI53" s="964" t="s">
        <v>2424</v>
      </c>
      <c r="AJ53" s="964" t="s">
        <v>2424</v>
      </c>
      <c r="AK53" s="964" t="s">
        <v>2424</v>
      </c>
      <c r="AL53" s="964" t="s">
        <v>2424</v>
      </c>
    </row>
    <row r="54" spans="1:41" ht="39" thickBot="1" x14ac:dyDescent="0.25">
      <c r="A54" s="954" t="s">
        <v>1617</v>
      </c>
      <c r="B54" s="954" t="s">
        <v>1762</v>
      </c>
      <c r="C54" s="952" t="s">
        <v>1783</v>
      </c>
      <c r="D54" s="961" t="s">
        <v>1784</v>
      </c>
      <c r="E54" s="962" t="s">
        <v>1785</v>
      </c>
      <c r="F54" s="963" t="s">
        <v>1622</v>
      </c>
      <c r="G54" s="963" t="s">
        <v>1622</v>
      </c>
      <c r="H54" s="964" t="s">
        <v>1659</v>
      </c>
      <c r="I54" s="964" t="s">
        <v>2423</v>
      </c>
      <c r="J54" s="964" t="s">
        <v>2423</v>
      </c>
      <c r="K54" s="964" t="s">
        <v>2423</v>
      </c>
      <c r="L54" s="964" t="s">
        <v>2423</v>
      </c>
      <c r="M54" s="964" t="s">
        <v>2423</v>
      </c>
      <c r="N54" s="964" t="s">
        <v>2423</v>
      </c>
      <c r="O54" s="964" t="s">
        <v>2423</v>
      </c>
      <c r="P54" s="964" t="s">
        <v>2423</v>
      </c>
      <c r="Q54" s="964" t="s">
        <v>2423</v>
      </c>
      <c r="R54" s="964" t="s">
        <v>2423</v>
      </c>
      <c r="S54" s="964" t="s">
        <v>2423</v>
      </c>
      <c r="T54" s="964" t="s">
        <v>2423</v>
      </c>
      <c r="U54" s="964" t="s">
        <v>2423</v>
      </c>
      <c r="V54" s="964" t="s">
        <v>2423</v>
      </c>
      <c r="W54" s="964" t="s">
        <v>2423</v>
      </c>
      <c r="X54" s="964" t="s">
        <v>2423</v>
      </c>
      <c r="Y54" s="964" t="s">
        <v>2423</v>
      </c>
      <c r="Z54" s="964" t="s">
        <v>2423</v>
      </c>
      <c r="AA54" s="964" t="s">
        <v>2423</v>
      </c>
      <c r="AB54" s="964" t="s">
        <v>2423</v>
      </c>
      <c r="AC54" s="964" t="s">
        <v>2423</v>
      </c>
      <c r="AD54" s="964" t="s">
        <v>2423</v>
      </c>
      <c r="AE54" s="964" t="s">
        <v>2423</v>
      </c>
      <c r="AF54" s="964" t="s">
        <v>2423</v>
      </c>
      <c r="AG54" s="964" t="s">
        <v>2423</v>
      </c>
      <c r="AH54" s="964" t="s">
        <v>2423</v>
      </c>
      <c r="AI54" s="964" t="s">
        <v>2423</v>
      </c>
      <c r="AJ54" s="964" t="s">
        <v>2423</v>
      </c>
      <c r="AK54" s="964" t="s">
        <v>2423</v>
      </c>
      <c r="AL54" s="964" t="s">
        <v>2423</v>
      </c>
    </row>
    <row r="55" spans="1:41" ht="26.25" thickBot="1" x14ac:dyDescent="0.25">
      <c r="A55" s="954" t="s">
        <v>1617</v>
      </c>
      <c r="B55" s="954" t="s">
        <v>1762</v>
      </c>
      <c r="C55" s="952" t="s">
        <v>1786</v>
      </c>
      <c r="D55" s="961" t="s">
        <v>1787</v>
      </c>
      <c r="E55" s="962" t="s">
        <v>1788</v>
      </c>
      <c r="F55" s="963" t="s">
        <v>1622</v>
      </c>
      <c r="G55" s="963" t="s">
        <v>1666</v>
      </c>
      <c r="H55" s="964" t="s">
        <v>1789</v>
      </c>
      <c r="I55" s="964" t="s">
        <v>2424</v>
      </c>
      <c r="J55" s="964" t="s">
        <v>2424</v>
      </c>
      <c r="K55" s="964" t="s">
        <v>2424</v>
      </c>
      <c r="L55" s="964" t="s">
        <v>2424</v>
      </c>
      <c r="M55" s="964" t="s">
        <v>2424</v>
      </c>
      <c r="N55" s="964" t="s">
        <v>2424</v>
      </c>
      <c r="O55" s="964" t="s">
        <v>2424</v>
      </c>
      <c r="P55" s="964" t="s">
        <v>2424</v>
      </c>
      <c r="Q55" s="964" t="s">
        <v>2424</v>
      </c>
      <c r="R55" s="964" t="s">
        <v>2424</v>
      </c>
      <c r="S55" s="964" t="s">
        <v>2424</v>
      </c>
      <c r="T55" s="964" t="s">
        <v>2424</v>
      </c>
      <c r="U55" s="964" t="s">
        <v>2424</v>
      </c>
      <c r="V55" s="964" t="s">
        <v>2424</v>
      </c>
      <c r="W55" s="964" t="s">
        <v>2424</v>
      </c>
      <c r="X55" s="964" t="s">
        <v>2424</v>
      </c>
      <c r="Y55" s="964" t="s">
        <v>2424</v>
      </c>
      <c r="Z55" s="964" t="s">
        <v>2424</v>
      </c>
      <c r="AA55" s="964" t="s">
        <v>2424</v>
      </c>
      <c r="AB55" s="964" t="s">
        <v>2424</v>
      </c>
      <c r="AC55" s="964" t="s">
        <v>2424</v>
      </c>
      <c r="AD55" s="964" t="s">
        <v>2424</v>
      </c>
      <c r="AE55" s="964" t="s">
        <v>2424</v>
      </c>
      <c r="AF55" s="964" t="s">
        <v>2424</v>
      </c>
      <c r="AG55" s="964" t="s">
        <v>2424</v>
      </c>
      <c r="AH55" s="964" t="s">
        <v>2424</v>
      </c>
      <c r="AI55" s="964" t="s">
        <v>2424</v>
      </c>
      <c r="AJ55" s="964" t="s">
        <v>2424</v>
      </c>
      <c r="AK55" s="964" t="s">
        <v>2424</v>
      </c>
      <c r="AL55" s="964" t="s">
        <v>2424</v>
      </c>
    </row>
    <row r="56" spans="1:41" ht="26.25" thickBot="1" x14ac:dyDescent="0.25">
      <c r="A56" s="954" t="s">
        <v>1617</v>
      </c>
      <c r="B56" s="954" t="s">
        <v>1762</v>
      </c>
      <c r="C56" s="952" t="s">
        <v>1790</v>
      </c>
      <c r="D56" s="961" t="s">
        <v>1791</v>
      </c>
      <c r="E56" s="962" t="s">
        <v>1792</v>
      </c>
      <c r="F56" s="963" t="s">
        <v>1622</v>
      </c>
      <c r="G56" s="963" t="s">
        <v>1666</v>
      </c>
      <c r="H56" s="964" t="s">
        <v>1789</v>
      </c>
      <c r="I56" s="964" t="s">
        <v>2424</v>
      </c>
      <c r="J56" s="964" t="s">
        <v>2424</v>
      </c>
      <c r="K56" s="964" t="s">
        <v>2424</v>
      </c>
      <c r="L56" s="964" t="s">
        <v>2424</v>
      </c>
      <c r="M56" s="964" t="s">
        <v>2424</v>
      </c>
      <c r="N56" s="964" t="s">
        <v>2424</v>
      </c>
      <c r="O56" s="964" t="s">
        <v>2424</v>
      </c>
      <c r="P56" s="964" t="s">
        <v>2424</v>
      </c>
      <c r="Q56" s="964" t="s">
        <v>2424</v>
      </c>
      <c r="R56" s="964" t="s">
        <v>2424</v>
      </c>
      <c r="S56" s="964" t="s">
        <v>2424</v>
      </c>
      <c r="T56" s="964" t="s">
        <v>2424</v>
      </c>
      <c r="U56" s="964" t="s">
        <v>2424</v>
      </c>
      <c r="V56" s="964" t="s">
        <v>2424</v>
      </c>
      <c r="W56" s="964" t="s">
        <v>2424</v>
      </c>
      <c r="X56" s="964" t="s">
        <v>2424</v>
      </c>
      <c r="Y56" s="964" t="s">
        <v>2424</v>
      </c>
      <c r="Z56" s="964" t="s">
        <v>2424</v>
      </c>
      <c r="AA56" s="964" t="s">
        <v>2424</v>
      </c>
      <c r="AB56" s="964" t="s">
        <v>2424</v>
      </c>
      <c r="AC56" s="964" t="s">
        <v>2424</v>
      </c>
      <c r="AD56" s="964" t="s">
        <v>2424</v>
      </c>
      <c r="AE56" s="964" t="s">
        <v>2424</v>
      </c>
      <c r="AF56" s="964" t="s">
        <v>2424</v>
      </c>
      <c r="AG56" s="964" t="s">
        <v>2424</v>
      </c>
      <c r="AH56" s="964" t="s">
        <v>2424</v>
      </c>
      <c r="AI56" s="964" t="s">
        <v>2424</v>
      </c>
      <c r="AJ56" s="964" t="s">
        <v>2424</v>
      </c>
      <c r="AK56" s="964" t="s">
        <v>2424</v>
      </c>
      <c r="AL56" s="964" t="s">
        <v>2424</v>
      </c>
    </row>
    <row r="57" spans="1:41" ht="90" thickBot="1" x14ac:dyDescent="0.25">
      <c r="A57" s="954" t="s">
        <v>1617</v>
      </c>
      <c r="B57" s="954" t="s">
        <v>1762</v>
      </c>
      <c r="C57" s="952" t="s">
        <v>1793</v>
      </c>
      <c r="D57" s="961" t="s">
        <v>1794</v>
      </c>
      <c r="E57" s="962" t="s">
        <v>1795</v>
      </c>
      <c r="F57" s="963" t="s">
        <v>1622</v>
      </c>
      <c r="G57" s="963" t="s">
        <v>1622</v>
      </c>
      <c r="H57" s="964" t="s">
        <v>1649</v>
      </c>
      <c r="I57" s="964" t="s">
        <v>883</v>
      </c>
      <c r="J57" s="964" t="s">
        <v>883</v>
      </c>
      <c r="K57" s="964" t="s">
        <v>883</v>
      </c>
      <c r="L57" s="964" t="s">
        <v>883</v>
      </c>
      <c r="M57" s="964" t="s">
        <v>883</v>
      </c>
      <c r="N57" s="964" t="s">
        <v>883</v>
      </c>
      <c r="O57" s="964" t="s">
        <v>883</v>
      </c>
      <c r="P57" s="964" t="s">
        <v>883</v>
      </c>
      <c r="Q57" s="964" t="s">
        <v>883</v>
      </c>
      <c r="R57" s="964" t="s">
        <v>883</v>
      </c>
      <c r="S57" s="964" t="s">
        <v>883</v>
      </c>
      <c r="T57" s="964" t="s">
        <v>883</v>
      </c>
      <c r="U57" s="964" t="s">
        <v>883</v>
      </c>
      <c r="V57" s="964" t="s">
        <v>883</v>
      </c>
      <c r="W57" s="964" t="s">
        <v>883</v>
      </c>
      <c r="X57" s="964" t="s">
        <v>883</v>
      </c>
      <c r="Y57" s="964" t="s">
        <v>883</v>
      </c>
      <c r="Z57" s="964" t="s">
        <v>883</v>
      </c>
      <c r="AA57" s="964" t="s">
        <v>883</v>
      </c>
      <c r="AB57" s="964" t="s">
        <v>883</v>
      </c>
      <c r="AC57" s="964" t="s">
        <v>883</v>
      </c>
      <c r="AD57" s="964" t="s">
        <v>883</v>
      </c>
      <c r="AE57" s="964" t="s">
        <v>883</v>
      </c>
      <c r="AF57" s="964" t="s">
        <v>883</v>
      </c>
      <c r="AG57" s="964" t="s">
        <v>883</v>
      </c>
      <c r="AH57" s="964" t="s">
        <v>883</v>
      </c>
      <c r="AI57" s="964" t="s">
        <v>883</v>
      </c>
      <c r="AJ57" s="964" t="s">
        <v>883</v>
      </c>
      <c r="AK57" s="964" t="s">
        <v>883</v>
      </c>
      <c r="AL57" s="964" t="s">
        <v>883</v>
      </c>
    </row>
    <row r="58" spans="1:41" ht="13.5" thickBot="1" x14ac:dyDescent="0.25">
      <c r="A58" s="954" t="s">
        <v>1617</v>
      </c>
      <c r="B58" s="954" t="s">
        <v>1796</v>
      </c>
      <c r="C58" s="955" t="s">
        <v>1796</v>
      </c>
      <c r="D58" s="956"/>
      <c r="E58" s="957"/>
      <c r="F58" s="958" t="s">
        <v>657</v>
      </c>
      <c r="G58" s="958" t="s">
        <v>657</v>
      </c>
      <c r="H58" s="959"/>
      <c r="I58" s="960"/>
    </row>
    <row r="59" spans="1:41" ht="13.5" thickBot="1" x14ac:dyDescent="0.25">
      <c r="A59" s="954" t="s">
        <v>1617</v>
      </c>
      <c r="B59" s="954" t="s">
        <v>1796</v>
      </c>
      <c r="C59" s="952" t="s">
        <v>1797</v>
      </c>
      <c r="D59" s="961" t="s">
        <v>1620</v>
      </c>
      <c r="E59" s="962" t="s">
        <v>1764</v>
      </c>
      <c r="F59" s="963" t="s">
        <v>1622</v>
      </c>
      <c r="G59" s="963" t="s">
        <v>1622</v>
      </c>
      <c r="H59" s="964" t="s">
        <v>1623</v>
      </c>
      <c r="I59" s="971" t="str">
        <f>I3</f>
        <v>969500Z05GRNU3KPEY94</v>
      </c>
      <c r="J59" s="971" t="str">
        <f>$I$59</f>
        <v>969500Z05GRNU3KPEY94</v>
      </c>
      <c r="K59" s="971" t="str">
        <f t="shared" ref="K59:Z59" si="27">$I$59</f>
        <v>969500Z05GRNU3KPEY94</v>
      </c>
      <c r="L59" s="971" t="str">
        <f t="shared" si="27"/>
        <v>969500Z05GRNU3KPEY94</v>
      </c>
      <c r="M59" s="971" t="str">
        <f t="shared" si="27"/>
        <v>969500Z05GRNU3KPEY94</v>
      </c>
      <c r="N59" s="971" t="str">
        <f t="shared" si="27"/>
        <v>969500Z05GRNU3KPEY94</v>
      </c>
      <c r="O59" s="971" t="str">
        <f t="shared" si="27"/>
        <v>969500Z05GRNU3KPEY94</v>
      </c>
      <c r="P59" s="971" t="str">
        <f t="shared" si="27"/>
        <v>969500Z05GRNU3KPEY94</v>
      </c>
      <c r="Q59" s="971" t="str">
        <f t="shared" si="27"/>
        <v>969500Z05GRNU3KPEY94</v>
      </c>
      <c r="R59" s="971" t="str">
        <f t="shared" si="27"/>
        <v>969500Z05GRNU3KPEY94</v>
      </c>
      <c r="S59" s="971" t="str">
        <f t="shared" si="27"/>
        <v>969500Z05GRNU3KPEY94</v>
      </c>
      <c r="T59" s="971" t="str">
        <f t="shared" si="27"/>
        <v>969500Z05GRNU3KPEY94</v>
      </c>
      <c r="U59" s="971" t="str">
        <f t="shared" si="27"/>
        <v>969500Z05GRNU3KPEY94</v>
      </c>
      <c r="V59" s="971" t="str">
        <f t="shared" si="27"/>
        <v>969500Z05GRNU3KPEY94</v>
      </c>
      <c r="W59" s="971" t="str">
        <f t="shared" si="27"/>
        <v>969500Z05GRNU3KPEY94</v>
      </c>
      <c r="X59" s="971" t="str">
        <f t="shared" si="27"/>
        <v>969500Z05GRNU3KPEY94</v>
      </c>
      <c r="Y59" s="971" t="str">
        <f t="shared" si="27"/>
        <v>969500Z05GRNU3KPEY94</v>
      </c>
      <c r="Z59" s="971" t="str">
        <f t="shared" si="27"/>
        <v>969500Z05GRNU3KPEY94</v>
      </c>
    </row>
    <row r="60" spans="1:41" ht="26.25" thickBot="1" x14ac:dyDescent="0.25">
      <c r="A60" s="954" t="s">
        <v>1617</v>
      </c>
      <c r="B60" s="954" t="s">
        <v>1796</v>
      </c>
      <c r="C60" s="952" t="s">
        <v>1798</v>
      </c>
      <c r="D60" s="961" t="s">
        <v>1799</v>
      </c>
      <c r="E60" s="962" t="s">
        <v>1800</v>
      </c>
      <c r="F60" s="963" t="s">
        <v>1622</v>
      </c>
      <c r="G60" s="963" t="s">
        <v>1622</v>
      </c>
      <c r="H60" s="964" t="s">
        <v>1768</v>
      </c>
      <c r="I60" s="964" t="s">
        <v>2425</v>
      </c>
      <c r="J60" s="964" t="s">
        <v>2426</v>
      </c>
      <c r="K60" s="964" t="s">
        <v>2427</v>
      </c>
      <c r="L60" s="964" t="s">
        <v>2428</v>
      </c>
      <c r="M60" s="964" t="s">
        <v>2429</v>
      </c>
      <c r="N60" s="964" t="s">
        <v>2442</v>
      </c>
      <c r="O60" s="964" t="s">
        <v>2430</v>
      </c>
      <c r="P60" s="964" t="s">
        <v>2431</v>
      </c>
      <c r="Q60" s="964" t="s">
        <v>2432</v>
      </c>
      <c r="R60" s="964" t="s">
        <v>2433</v>
      </c>
      <c r="S60" s="964" t="s">
        <v>2434</v>
      </c>
      <c r="T60" s="964" t="s">
        <v>2435</v>
      </c>
      <c r="U60" s="964" t="s">
        <v>2436</v>
      </c>
      <c r="V60" s="964" t="s">
        <v>2437</v>
      </c>
      <c r="W60" s="964" t="s">
        <v>2438</v>
      </c>
      <c r="X60" s="964" t="s">
        <v>2439</v>
      </c>
      <c r="Y60" s="964" t="s">
        <v>2440</v>
      </c>
      <c r="Z60" s="964" t="s">
        <v>2441</v>
      </c>
    </row>
    <row r="61" spans="1:41" ht="26.25" thickBot="1" x14ac:dyDescent="0.25">
      <c r="A61" s="954" t="s">
        <v>1617</v>
      </c>
      <c r="B61" s="954" t="s">
        <v>1796</v>
      </c>
      <c r="C61" s="952" t="s">
        <v>1801</v>
      </c>
      <c r="D61" s="961" t="s">
        <v>1802</v>
      </c>
      <c r="E61" s="962" t="s">
        <v>1803</v>
      </c>
      <c r="F61" s="963" t="s">
        <v>1622</v>
      </c>
      <c r="G61" s="963" t="s">
        <v>1622</v>
      </c>
      <c r="H61" s="964" t="s">
        <v>1768</v>
      </c>
      <c r="I61" s="964" t="str">
        <f>I60</f>
        <v>PPOP_INCF1</v>
      </c>
      <c r="J61" s="964" t="str">
        <f t="shared" ref="J61:Z61" si="28">J60</f>
        <v>PPOP_OUTCF1</v>
      </c>
      <c r="K61" s="964" t="str">
        <f t="shared" si="28"/>
        <v>PPOP_OUTCF2</v>
      </c>
      <c r="L61" s="964" t="str">
        <f t="shared" si="28"/>
        <v>PPOP_OUTCF3</v>
      </c>
      <c r="M61" s="964" t="str">
        <f t="shared" si="28"/>
        <v>PPOP_OUTCF4</v>
      </c>
      <c r="N61" s="964" t="str">
        <f t="shared" si="28"/>
        <v>IPOP_INCF1</v>
      </c>
      <c r="O61" s="964" t="str">
        <f t="shared" si="28"/>
        <v>IPOP_OUTCF1</v>
      </c>
      <c r="P61" s="964" t="str">
        <f t="shared" si="28"/>
        <v>IPOP_OUTCF2</v>
      </c>
      <c r="Q61" s="964" t="str">
        <f t="shared" si="28"/>
        <v>IPOP_OUTCF3</v>
      </c>
      <c r="R61" s="964" t="str">
        <f t="shared" si="28"/>
        <v>IPOP_OUTCF4</v>
      </c>
      <c r="S61" s="964" t="str">
        <f t="shared" si="28"/>
        <v>IPOP_OUTCF5</v>
      </c>
      <c r="T61" s="964" t="str">
        <f t="shared" si="28"/>
        <v>IPOP_OUTCF6</v>
      </c>
      <c r="U61" s="964" t="str">
        <f t="shared" si="28"/>
        <v>IPOP_OUTCF7</v>
      </c>
      <c r="V61" s="964" t="str">
        <f t="shared" si="28"/>
        <v>IPOP_OUTCF8</v>
      </c>
      <c r="W61" s="964" t="str">
        <f t="shared" si="28"/>
        <v>IPOP_OUTCF9</v>
      </c>
      <c r="X61" s="964" t="str">
        <f t="shared" si="28"/>
        <v>IPOP_OUTCF10</v>
      </c>
      <c r="Y61" s="964" t="str">
        <f t="shared" si="28"/>
        <v>IPOP_OUTCF11</v>
      </c>
      <c r="Z61" s="964" t="str">
        <f t="shared" si="28"/>
        <v>IPOP_OUTCF12</v>
      </c>
    </row>
    <row r="62" spans="1:41" ht="141" thickBot="1" x14ac:dyDescent="0.25">
      <c r="A62" s="954" t="s">
        <v>1617</v>
      </c>
      <c r="B62" s="954" t="s">
        <v>1796</v>
      </c>
      <c r="C62" s="952" t="s">
        <v>1804</v>
      </c>
      <c r="D62" s="961" t="s">
        <v>1805</v>
      </c>
      <c r="E62" s="962" t="s">
        <v>1806</v>
      </c>
      <c r="F62" s="963" t="s">
        <v>1622</v>
      </c>
      <c r="G62" s="963" t="s">
        <v>1622</v>
      </c>
      <c r="H62" s="964" t="s">
        <v>1768</v>
      </c>
      <c r="I62" s="973" t="str">
        <f t="array" ref="I62:M62">TRANSPOSE('15 - Priority of Payments'!F23:H27)</f>
        <v>Available Principal Distribution Amount</v>
      </c>
      <c r="J62" s="974" t="str">
        <v>(a)	payment of the Principal Reallocated Amount due and payable on such Payment Date</v>
      </c>
      <c r="K62" s="974" t="str">
        <v xml:space="preserve">(b)	during the Normal Redemption Period only, towards payment on a pari passu basis of the Class A Notes Principal Payment (and any principal arrears) to the Class A Noteholders until all the Class A Notes have been redeemed in full; </v>
      </c>
      <c r="L62" s="974" t="str">
        <v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v>
      </c>
      <c r="M62" s="974" t="str">
        <v>(d)	on the Issuer Liquidation Date, to the payment of the liquidation surplus (boni de liquidation) to the Residual Unitholder as principal and interest.</v>
      </c>
      <c r="N62" s="973" t="str">
        <f t="array" ref="N62:Z62">TRANSPOSE('15 - Priority of Payments'!F44:H56)</f>
        <v>Available Interest Distribution Amount</v>
      </c>
      <c r="O62" s="974" t="str">
        <v>(a)	payment, if any, of the Servicer Fees Arrears</v>
      </c>
      <c r="P62" s="974" t="str">
        <v>(b)	payment of the Servicer Fees;</v>
      </c>
      <c r="Q62" s="974" t="str">
        <v>(c)	payment, if any, of the Issuer Operating Expenses Arrears to each relevant creditor;</v>
      </c>
      <c r="R62" s="974" t="str">
        <v>(d)	payment of the Issuer Operating Expenses, excluding the Servicer Fees paid under paragraph (b) above, to each relevant creditor;</v>
      </c>
      <c r="S62" s="974" t="str">
        <v xml:space="preserve">(e)	payment pari passu and pro rata of the Class A Notes Interest Amount and, in priority thereto, any Class A Notes Interest Shortfall, due and payable to the Class A Noteholders; </v>
      </c>
      <c r="T62" s="974" t="str">
        <v>(f)	credit of the Class A Notes Deficiency Ledger in an amount sufficient to eliminate any debit thereof;</v>
      </c>
      <c r="U62" s="974" t="str">
        <v>(g)	transfer into the Reserve Account of an amount such as the amount standing to the credit of the Reserve Account after such transfer is equal to the Reserve Fund Required Amount;</v>
      </c>
      <c r="V62" s="974" t="str">
        <v>(h)	payment pari passu and pro rata of the Class B Notes Interest Amount and, in priority thereto, any Class B Notes Interest Shortfall, due and payable to the Class B Noteholders;</v>
      </c>
      <c r="W62" s="974" t="str">
        <v>(i)	credit of the Class B Notes Deficiency Ledger in an amount sufficient to eliminate any debit thereof;</v>
      </c>
      <c r="X62" s="974" t="str">
        <v>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v>
      </c>
      <c r="Y62" s="974" t="str">
        <v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v>
      </c>
      <c r="Z62" s="974" t="str">
        <v>(l)	payment on a pro rata basis of any remaining credit balance on the Interest Account as interest to the Residual Unitholders.</v>
      </c>
    </row>
    <row r="63" spans="1:41" ht="77.25" thickBot="1" x14ac:dyDescent="0.25">
      <c r="A63" s="954" t="s">
        <v>1617</v>
      </c>
      <c r="B63" s="954" t="s">
        <v>1796</v>
      </c>
      <c r="C63" s="952" t="s">
        <v>1807</v>
      </c>
      <c r="D63" s="961" t="s">
        <v>1808</v>
      </c>
      <c r="E63" s="962" t="s">
        <v>1809</v>
      </c>
      <c r="F63" s="963" t="s">
        <v>1622</v>
      </c>
      <c r="G63" s="963" t="s">
        <v>1622</v>
      </c>
      <c r="H63" s="964" t="s">
        <v>1670</v>
      </c>
      <c r="I63" s="976" t="str">
        <f t="array" ref="I63:M63">TEXT(TRANSPOSE('15 - Priority of Payments'!J23:J27),"### ###0,00")&amp;" EUR"</f>
        <v>18 354 315,37 EUR</v>
      </c>
      <c r="J63" s="975" t="str">
        <v>0,00 EUR</v>
      </c>
      <c r="K63" s="975" t="str">
        <v>18 354 315,37 EUR</v>
      </c>
      <c r="L63" s="975" t="str">
        <v>0,00 EUR</v>
      </c>
      <c r="M63" s="975" t="str">
        <v>0,00 EUR</v>
      </c>
      <c r="N63" s="976">
        <f t="array" ref="N63:Z63">TRANSPOSE('15 - Priority of Payments'!J44:J56)</f>
        <v>12440726.082099997</v>
      </c>
      <c r="O63" s="975">
        <v>0</v>
      </c>
      <c r="P63" s="975">
        <v>1861.37</v>
      </c>
      <c r="Q63" s="975">
        <v>0</v>
      </c>
      <c r="R63" s="975">
        <v>31632.017049180326</v>
      </c>
      <c r="S63" s="975">
        <v>404905.4</v>
      </c>
      <c r="T63" s="975">
        <v>0</v>
      </c>
      <c r="U63" s="975">
        <v>9507056.7161999997</v>
      </c>
      <c r="V63" s="975">
        <v>0</v>
      </c>
      <c r="W63" s="975">
        <v>3515.46</v>
      </c>
      <c r="X63" s="975">
        <v>247194.82589999959</v>
      </c>
      <c r="Y63" s="975">
        <v>0</v>
      </c>
      <c r="Z63" s="975">
        <v>2244560.2929508174</v>
      </c>
    </row>
    <row r="64" spans="1:41" ht="64.5" thickBot="1" x14ac:dyDescent="0.25">
      <c r="A64" s="954" t="s">
        <v>1617</v>
      </c>
      <c r="B64" s="954" t="s">
        <v>1796</v>
      </c>
      <c r="C64" s="952" t="s">
        <v>1810</v>
      </c>
      <c r="D64" s="961" t="s">
        <v>1811</v>
      </c>
      <c r="E64" s="962" t="s">
        <v>1812</v>
      </c>
      <c r="F64" s="963" t="s">
        <v>1622</v>
      </c>
      <c r="G64" s="963" t="s">
        <v>1622</v>
      </c>
      <c r="H64" s="964" t="s">
        <v>1670</v>
      </c>
      <c r="I64" s="964" t="str">
        <f t="array" ref="I64:M64">TEXT(TRANSPOSE('15 - Priority of Payments'!L23:L27),"### ###0,00")&amp;" EUR"</f>
        <v>18 354 315,37 EUR</v>
      </c>
      <c r="J64" s="964" t="str">
        <v>18 354 315,37 EUR</v>
      </c>
      <c r="K64" s="964" t="str">
        <v>0,00 EUR</v>
      </c>
      <c r="L64" s="964" t="str">
        <v>0,00 EUR</v>
      </c>
      <c r="M64" s="964" t="str">
        <v>0,00 EUR</v>
      </c>
      <c r="N64" s="964" t="str">
        <f t="array" ref="N64:Z64">TEXT(TRANSPOSE('15 - Priority of Payments'!L44:L56),"### ###0,00")&amp;" EUR"</f>
        <v>12 440 726,08 EUR</v>
      </c>
      <c r="O64" s="964" t="str">
        <v>12 440 726,08 EUR</v>
      </c>
      <c r="P64" s="964" t="str">
        <v>12 438 864,71 EUR</v>
      </c>
      <c r="Q64" s="964" t="str">
        <v>12 438 864,71 EUR</v>
      </c>
      <c r="R64" s="964" t="str">
        <v>12 407 232,70 EUR</v>
      </c>
      <c r="S64" s="964" t="str">
        <v>12 002 327,30 EUR</v>
      </c>
      <c r="T64" s="964" t="str">
        <v>12 002 327,30 EUR</v>
      </c>
      <c r="U64" s="964" t="str">
        <v>2 495 270,58 EUR</v>
      </c>
      <c r="V64" s="964" t="str">
        <v>2 495 270,58 EUR</v>
      </c>
      <c r="W64" s="964" t="str">
        <v>2 491 755,12 EUR</v>
      </c>
      <c r="X64" s="964" t="str">
        <v>2 244 560,29 EUR</v>
      </c>
      <c r="Y64" s="964" t="str">
        <v>2 244 560,29 EUR</v>
      </c>
      <c r="Z64" s="964" t="str">
        <v>0,00 EUR</v>
      </c>
    </row>
  </sheetData>
  <phoneticPr fontId="170"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B21E-0657-40CD-8BCB-D5812849534E}">
  <sheetPr>
    <tabColor theme="0" tint="-0.249977111117893"/>
  </sheetPr>
  <dimension ref="A1:R214"/>
  <sheetViews>
    <sheetView showGridLines="0" topLeftCell="B1" workbookViewId="0">
      <selection activeCell="E7" sqref="E7"/>
    </sheetView>
  </sheetViews>
  <sheetFormatPr defaultRowHeight="12.75" x14ac:dyDescent="0.2"/>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33.5703125" customWidth="1"/>
    <col min="10" max="10" width="33.140625" customWidth="1"/>
    <col min="11" max="11" width="32" customWidth="1"/>
    <col min="12" max="12" width="24.28515625" customWidth="1"/>
    <col min="13" max="18" width="26.28515625" customWidth="1"/>
  </cols>
  <sheetData>
    <row r="1" spans="1:9" ht="26.25" thickBot="1" x14ac:dyDescent="0.25">
      <c r="A1" s="951" t="s">
        <v>1608</v>
      </c>
      <c r="B1" s="951" t="s">
        <v>1609</v>
      </c>
      <c r="C1" s="952" t="s">
        <v>1610</v>
      </c>
      <c r="D1" s="951" t="s">
        <v>1611</v>
      </c>
      <c r="E1" s="951" t="s">
        <v>1612</v>
      </c>
      <c r="F1" s="951" t="s">
        <v>1613</v>
      </c>
      <c r="G1" s="951" t="s">
        <v>1614</v>
      </c>
      <c r="H1" s="951" t="s">
        <v>1615</v>
      </c>
      <c r="I1" s="953" t="s">
        <v>1616</v>
      </c>
    </row>
    <row r="2" spans="1:9" ht="39" thickBot="1" x14ac:dyDescent="0.25">
      <c r="A2" s="966" t="s">
        <v>1813</v>
      </c>
      <c r="B2" s="954" t="s">
        <v>1618</v>
      </c>
      <c r="C2" s="955" t="s">
        <v>1618</v>
      </c>
      <c r="D2" s="956"/>
      <c r="E2" s="957"/>
      <c r="F2" s="958" t="s">
        <v>657</v>
      </c>
      <c r="G2" s="958" t="s">
        <v>657</v>
      </c>
      <c r="H2" s="959"/>
      <c r="I2" s="960"/>
    </row>
    <row r="3" spans="1:9" ht="39" thickBot="1" x14ac:dyDescent="0.25">
      <c r="A3" s="966" t="s">
        <v>1813</v>
      </c>
      <c r="B3" s="954" t="s">
        <v>1618</v>
      </c>
      <c r="C3" s="952" t="s">
        <v>1814</v>
      </c>
      <c r="D3" s="961" t="s">
        <v>1620</v>
      </c>
      <c r="E3" s="962" t="s">
        <v>1621</v>
      </c>
      <c r="F3" s="967" t="s">
        <v>1622</v>
      </c>
      <c r="G3" s="963" t="s">
        <v>1622</v>
      </c>
      <c r="H3" s="964" t="s">
        <v>1623</v>
      </c>
      <c r="I3" s="971" t="str">
        <f>'00 - Cover'!F11</f>
        <v>969500Z05GRNU3KPEY94</v>
      </c>
    </row>
    <row r="4" spans="1:9" ht="39" thickBot="1" x14ac:dyDescent="0.25">
      <c r="A4" s="966" t="s">
        <v>1813</v>
      </c>
      <c r="B4" s="954" t="s">
        <v>1618</v>
      </c>
      <c r="C4" s="952" t="s">
        <v>1815</v>
      </c>
      <c r="D4" s="961" t="s">
        <v>1625</v>
      </c>
      <c r="E4" s="962" t="s">
        <v>1816</v>
      </c>
      <c r="F4" s="967" t="s">
        <v>1622</v>
      </c>
      <c r="G4" s="963" t="s">
        <v>1622</v>
      </c>
      <c r="H4" s="964" t="s">
        <v>1627</v>
      </c>
      <c r="I4" s="971">
        <f>'00 - Cover'!F14</f>
        <v>45565</v>
      </c>
    </row>
    <row r="5" spans="1:9" ht="39" thickBot="1" x14ac:dyDescent="0.25">
      <c r="A5" s="966" t="s">
        <v>1813</v>
      </c>
      <c r="B5" s="954" t="s">
        <v>1618</v>
      </c>
      <c r="C5" s="952" t="s">
        <v>1817</v>
      </c>
      <c r="D5" s="961" t="s">
        <v>1818</v>
      </c>
      <c r="E5" s="962" t="s">
        <v>1819</v>
      </c>
      <c r="F5" s="963" t="s">
        <v>1622</v>
      </c>
      <c r="G5" s="963" t="s">
        <v>1666</v>
      </c>
      <c r="H5" s="964" t="s">
        <v>1659</v>
      </c>
      <c r="I5" s="964" t="s">
        <v>2424</v>
      </c>
    </row>
    <row r="6" spans="1:9" ht="39" thickBot="1" x14ac:dyDescent="0.25">
      <c r="A6" s="966" t="s">
        <v>1813</v>
      </c>
      <c r="B6" s="954" t="s">
        <v>1618</v>
      </c>
      <c r="C6" s="952" t="s">
        <v>1820</v>
      </c>
      <c r="D6" s="961" t="s">
        <v>1821</v>
      </c>
      <c r="E6" s="962" t="s">
        <v>1822</v>
      </c>
      <c r="F6" s="963" t="s">
        <v>1622</v>
      </c>
      <c r="G6" s="963" t="s">
        <v>1666</v>
      </c>
      <c r="H6" s="964" t="s">
        <v>1659</v>
      </c>
      <c r="I6" s="964" t="s">
        <v>2424</v>
      </c>
    </row>
    <row r="7" spans="1:9" ht="39" thickBot="1" x14ac:dyDescent="0.25">
      <c r="A7" s="966" t="s">
        <v>1813</v>
      </c>
      <c r="B7" s="954" t="s">
        <v>1618</v>
      </c>
      <c r="C7" s="952" t="s">
        <v>1823</v>
      </c>
      <c r="D7" s="961" t="s">
        <v>1824</v>
      </c>
      <c r="E7" s="962" t="s">
        <v>1825</v>
      </c>
      <c r="F7" s="963" t="s">
        <v>1622</v>
      </c>
      <c r="G7" s="963" t="s">
        <v>1666</v>
      </c>
      <c r="H7" s="964" t="s">
        <v>1659</v>
      </c>
      <c r="I7" s="964" t="s">
        <v>2424</v>
      </c>
    </row>
    <row r="8" spans="1:9" ht="39" thickBot="1" x14ac:dyDescent="0.25">
      <c r="A8" s="966" t="s">
        <v>1813</v>
      </c>
      <c r="B8" s="954" t="s">
        <v>1618</v>
      </c>
      <c r="C8" s="952" t="s">
        <v>1826</v>
      </c>
      <c r="D8" s="961" t="s">
        <v>1827</v>
      </c>
      <c r="E8" s="962" t="s">
        <v>1828</v>
      </c>
      <c r="F8" s="963" t="s">
        <v>1622</v>
      </c>
      <c r="G8" s="963" t="s">
        <v>1666</v>
      </c>
      <c r="H8" s="964" t="s">
        <v>1775</v>
      </c>
      <c r="I8" s="964" t="s">
        <v>2424</v>
      </c>
    </row>
    <row r="9" spans="1:9" ht="39" thickBot="1" x14ac:dyDescent="0.25">
      <c r="A9" s="966" t="s">
        <v>1813</v>
      </c>
      <c r="B9" s="954" t="s">
        <v>1618</v>
      </c>
      <c r="C9" s="952" t="s">
        <v>1829</v>
      </c>
      <c r="D9" s="961" t="s">
        <v>1830</v>
      </c>
      <c r="E9" s="962" t="s">
        <v>1831</v>
      </c>
      <c r="F9" s="963" t="s">
        <v>1622</v>
      </c>
      <c r="G9" s="963" t="s">
        <v>1666</v>
      </c>
      <c r="H9" s="964" t="s">
        <v>1659</v>
      </c>
      <c r="I9" s="964" t="s">
        <v>2424</v>
      </c>
    </row>
    <row r="10" spans="1:9" ht="102.75" thickBot="1" x14ac:dyDescent="0.25">
      <c r="A10" s="966" t="s">
        <v>1813</v>
      </c>
      <c r="B10" s="954" t="s">
        <v>1618</v>
      </c>
      <c r="C10" s="952" t="s">
        <v>1832</v>
      </c>
      <c r="D10" s="961" t="s">
        <v>1833</v>
      </c>
      <c r="E10" s="962" t="s">
        <v>1834</v>
      </c>
      <c r="F10" s="963" t="s">
        <v>1622</v>
      </c>
      <c r="G10" s="963" t="s">
        <v>1622</v>
      </c>
      <c r="H10" s="964" t="s">
        <v>1649</v>
      </c>
      <c r="I10" s="964" t="s">
        <v>883</v>
      </c>
    </row>
    <row r="11" spans="1:9" ht="90" thickBot="1" x14ac:dyDescent="0.25">
      <c r="A11" s="966" t="s">
        <v>1813</v>
      </c>
      <c r="B11" s="954" t="s">
        <v>1618</v>
      </c>
      <c r="C11" s="952" t="s">
        <v>1835</v>
      </c>
      <c r="D11" s="961" t="s">
        <v>1836</v>
      </c>
      <c r="E11" s="962" t="s">
        <v>1837</v>
      </c>
      <c r="F11" s="963" t="s">
        <v>1622</v>
      </c>
      <c r="G11" s="963" t="s">
        <v>1666</v>
      </c>
      <c r="H11" s="964" t="s">
        <v>1649</v>
      </c>
      <c r="I11" s="964" t="s">
        <v>883</v>
      </c>
    </row>
    <row r="12" spans="1:9" ht="51.75" thickBot="1" x14ac:dyDescent="0.25">
      <c r="A12" s="966" t="s">
        <v>1813</v>
      </c>
      <c r="B12" s="954" t="s">
        <v>1618</v>
      </c>
      <c r="C12" s="952" t="s">
        <v>1838</v>
      </c>
      <c r="D12" s="961" t="s">
        <v>1839</v>
      </c>
      <c r="E12" s="962" t="s">
        <v>1840</v>
      </c>
      <c r="F12" s="963" t="s">
        <v>1622</v>
      </c>
      <c r="G12" s="963" t="s">
        <v>1666</v>
      </c>
      <c r="H12" s="964" t="s">
        <v>1670</v>
      </c>
      <c r="I12" s="964" t="s">
        <v>883</v>
      </c>
    </row>
    <row r="13" spans="1:9" ht="51.75" thickBot="1" x14ac:dyDescent="0.25">
      <c r="A13" s="966" t="s">
        <v>1813</v>
      </c>
      <c r="B13" s="954" t="s">
        <v>1618</v>
      </c>
      <c r="C13" s="952" t="s">
        <v>1841</v>
      </c>
      <c r="D13" s="961" t="s">
        <v>1842</v>
      </c>
      <c r="E13" s="962" t="s">
        <v>1843</v>
      </c>
      <c r="F13" s="963" t="s">
        <v>1622</v>
      </c>
      <c r="G13" s="963" t="s">
        <v>1666</v>
      </c>
      <c r="H13" s="964" t="s">
        <v>1670</v>
      </c>
      <c r="I13" s="964" t="s">
        <v>2424</v>
      </c>
    </row>
    <row r="14" spans="1:9" ht="39" thickBot="1" x14ac:dyDescent="0.25">
      <c r="A14" s="966" t="s">
        <v>1813</v>
      </c>
      <c r="B14" s="954" t="s">
        <v>1618</v>
      </c>
      <c r="C14" s="952" t="s">
        <v>1844</v>
      </c>
      <c r="D14" s="961" t="s">
        <v>1845</v>
      </c>
      <c r="E14" s="962" t="s">
        <v>1846</v>
      </c>
      <c r="F14" s="963" t="s">
        <v>1622</v>
      </c>
      <c r="G14" s="963" t="s">
        <v>1666</v>
      </c>
      <c r="H14" s="964" t="s">
        <v>1847</v>
      </c>
      <c r="I14" s="964" t="s">
        <v>2424</v>
      </c>
    </row>
    <row r="15" spans="1:9" ht="51.75" thickBot="1" x14ac:dyDescent="0.25">
      <c r="A15" s="966" t="s">
        <v>1813</v>
      </c>
      <c r="B15" s="954" t="s">
        <v>1618</v>
      </c>
      <c r="C15" s="952" t="s">
        <v>1848</v>
      </c>
      <c r="D15" s="961" t="s">
        <v>1849</v>
      </c>
      <c r="E15" s="962" t="s">
        <v>1850</v>
      </c>
      <c r="F15" s="963" t="s">
        <v>1622</v>
      </c>
      <c r="G15" s="963" t="s">
        <v>1666</v>
      </c>
      <c r="H15" s="964" t="s">
        <v>1670</v>
      </c>
      <c r="I15" s="964" t="s">
        <v>2424</v>
      </c>
    </row>
    <row r="16" spans="1:9" ht="39" thickBot="1" x14ac:dyDescent="0.25">
      <c r="A16" s="966" t="s">
        <v>1813</v>
      </c>
      <c r="B16" s="954" t="s">
        <v>1618</v>
      </c>
      <c r="C16" s="952" t="s">
        <v>1851</v>
      </c>
      <c r="D16" s="961" t="s">
        <v>1852</v>
      </c>
      <c r="E16" s="962" t="s">
        <v>1853</v>
      </c>
      <c r="F16" s="963" t="s">
        <v>1622</v>
      </c>
      <c r="G16" s="963" t="s">
        <v>1666</v>
      </c>
      <c r="H16" s="964" t="s">
        <v>1692</v>
      </c>
      <c r="I16" s="964" t="s">
        <v>2424</v>
      </c>
    </row>
    <row r="17" spans="1:10" ht="39" thickBot="1" x14ac:dyDescent="0.25">
      <c r="A17" s="966" t="s">
        <v>1813</v>
      </c>
      <c r="B17" s="954" t="s">
        <v>1618</v>
      </c>
      <c r="C17" s="952" t="s">
        <v>1854</v>
      </c>
      <c r="D17" s="961" t="s">
        <v>1855</v>
      </c>
      <c r="E17" s="962" t="s">
        <v>1856</v>
      </c>
      <c r="F17" s="963" t="s">
        <v>1622</v>
      </c>
      <c r="G17" s="963" t="s">
        <v>1666</v>
      </c>
      <c r="H17" s="964" t="s">
        <v>1692</v>
      </c>
      <c r="I17" s="964" t="s">
        <v>2424</v>
      </c>
    </row>
    <row r="18" spans="1:10" ht="39" thickBot="1" x14ac:dyDescent="0.25">
      <c r="A18" s="966" t="s">
        <v>1813</v>
      </c>
      <c r="B18" s="954" t="s">
        <v>1618</v>
      </c>
      <c r="C18" s="952" t="s">
        <v>1857</v>
      </c>
      <c r="D18" s="961" t="s">
        <v>1858</v>
      </c>
      <c r="E18" s="962" t="s">
        <v>1859</v>
      </c>
      <c r="F18" s="963" t="s">
        <v>1622</v>
      </c>
      <c r="G18" s="963" t="s">
        <v>1666</v>
      </c>
      <c r="H18" s="964" t="s">
        <v>1670</v>
      </c>
      <c r="I18" s="964" t="s">
        <v>2424</v>
      </c>
    </row>
    <row r="19" spans="1:10" ht="408.75" thickBot="1" x14ac:dyDescent="0.25">
      <c r="A19" s="966" t="s">
        <v>1813</v>
      </c>
      <c r="B19" s="954" t="s">
        <v>1618</v>
      </c>
      <c r="C19" s="952" t="s">
        <v>1860</v>
      </c>
      <c r="D19" s="965" t="s">
        <v>1861</v>
      </c>
      <c r="E19" s="962" t="s">
        <v>1862</v>
      </c>
      <c r="F19" s="963" t="s">
        <v>1622</v>
      </c>
      <c r="G19" s="963" t="s">
        <v>1666</v>
      </c>
      <c r="H19" s="964" t="s">
        <v>1649</v>
      </c>
      <c r="I19" s="964" t="s">
        <v>2424</v>
      </c>
    </row>
    <row r="20" spans="1:10" ht="39" thickBot="1" x14ac:dyDescent="0.25">
      <c r="A20" s="966" t="s">
        <v>1813</v>
      </c>
      <c r="B20" s="954" t="s">
        <v>1618</v>
      </c>
      <c r="C20" s="952" t="s">
        <v>1863</v>
      </c>
      <c r="D20" s="965" t="s">
        <v>1864</v>
      </c>
      <c r="E20" s="962" t="s">
        <v>1865</v>
      </c>
      <c r="F20" s="963" t="s">
        <v>1622</v>
      </c>
      <c r="G20" s="963" t="s">
        <v>1666</v>
      </c>
      <c r="H20" s="964" t="s">
        <v>1627</v>
      </c>
      <c r="I20" s="964" t="s">
        <v>2424</v>
      </c>
    </row>
    <row r="21" spans="1:10" ht="39" thickBot="1" x14ac:dyDescent="0.25">
      <c r="A21" s="966" t="s">
        <v>1813</v>
      </c>
      <c r="B21" s="954" t="s">
        <v>1618</v>
      </c>
      <c r="C21" s="952" t="s">
        <v>1866</v>
      </c>
      <c r="D21" s="965" t="s">
        <v>1867</v>
      </c>
      <c r="E21" s="962" t="s">
        <v>1868</v>
      </c>
      <c r="F21" s="963" t="s">
        <v>1622</v>
      </c>
      <c r="G21" s="963" t="s">
        <v>1666</v>
      </c>
      <c r="H21" s="964" t="s">
        <v>1670</v>
      </c>
      <c r="I21" s="964" t="s">
        <v>2424</v>
      </c>
    </row>
    <row r="22" spans="1:10" ht="39" thickBot="1" x14ac:dyDescent="0.25">
      <c r="A22" s="966" t="s">
        <v>1813</v>
      </c>
      <c r="B22" s="954" t="s">
        <v>1618</v>
      </c>
      <c r="C22" s="952" t="s">
        <v>1869</v>
      </c>
      <c r="D22" s="965" t="s">
        <v>1870</v>
      </c>
      <c r="E22" s="962" t="s">
        <v>1871</v>
      </c>
      <c r="F22" s="963" t="s">
        <v>1622</v>
      </c>
      <c r="G22" s="963" t="s">
        <v>1666</v>
      </c>
      <c r="H22" s="964" t="s">
        <v>1872</v>
      </c>
      <c r="I22" s="964" t="s">
        <v>2424</v>
      </c>
    </row>
    <row r="23" spans="1:10" ht="39" thickBot="1" x14ac:dyDescent="0.25">
      <c r="A23" s="966" t="s">
        <v>1813</v>
      </c>
      <c r="B23" s="954" t="s">
        <v>1618</v>
      </c>
      <c r="C23" s="952" t="s">
        <v>1873</v>
      </c>
      <c r="D23" s="965" t="s">
        <v>1874</v>
      </c>
      <c r="E23" s="962" t="s">
        <v>1875</v>
      </c>
      <c r="F23" s="963" t="s">
        <v>1622</v>
      </c>
      <c r="G23" s="963" t="s">
        <v>1666</v>
      </c>
      <c r="H23" s="964" t="s">
        <v>1872</v>
      </c>
      <c r="I23" s="964" t="s">
        <v>2424</v>
      </c>
    </row>
    <row r="24" spans="1:10" ht="39" thickBot="1" x14ac:dyDescent="0.25">
      <c r="A24" s="966" t="s">
        <v>1813</v>
      </c>
      <c r="B24" s="954" t="s">
        <v>1618</v>
      </c>
      <c r="C24" s="952" t="s">
        <v>1876</v>
      </c>
      <c r="D24" s="965" t="s">
        <v>1877</v>
      </c>
      <c r="E24" s="962" t="s">
        <v>1878</v>
      </c>
      <c r="F24" s="963" t="s">
        <v>1622</v>
      </c>
      <c r="G24" s="963" t="s">
        <v>1666</v>
      </c>
      <c r="H24" s="964" t="s">
        <v>1692</v>
      </c>
      <c r="I24" s="964" t="s">
        <v>2424</v>
      </c>
    </row>
    <row r="25" spans="1:10" ht="39" thickBot="1" x14ac:dyDescent="0.25">
      <c r="A25" s="966" t="s">
        <v>1813</v>
      </c>
      <c r="B25" s="954" t="s">
        <v>1618</v>
      </c>
      <c r="C25" s="952" t="s">
        <v>1879</v>
      </c>
      <c r="D25" s="965" t="s">
        <v>1880</v>
      </c>
      <c r="E25" s="962" t="s">
        <v>1881</v>
      </c>
      <c r="F25" s="963" t="s">
        <v>1622</v>
      </c>
      <c r="G25" s="963" t="s">
        <v>1666</v>
      </c>
      <c r="H25" s="964" t="s">
        <v>1627</v>
      </c>
      <c r="I25" s="964" t="s">
        <v>2424</v>
      </c>
    </row>
    <row r="26" spans="1:10" ht="39" thickBot="1" x14ac:dyDescent="0.25">
      <c r="A26" s="966" t="s">
        <v>1813</v>
      </c>
      <c r="B26" s="954" t="s">
        <v>1618</v>
      </c>
      <c r="C26" s="952" t="s">
        <v>1882</v>
      </c>
      <c r="D26" s="965" t="s">
        <v>1883</v>
      </c>
      <c r="E26" s="962" t="s">
        <v>1884</v>
      </c>
      <c r="F26" s="963" t="s">
        <v>1622</v>
      </c>
      <c r="G26" s="963" t="s">
        <v>1666</v>
      </c>
      <c r="H26" s="964" t="s">
        <v>1670</v>
      </c>
      <c r="I26" s="964" t="s">
        <v>2424</v>
      </c>
    </row>
    <row r="27" spans="1:10" ht="39" thickBot="1" x14ac:dyDescent="0.25">
      <c r="A27" s="966" t="s">
        <v>1813</v>
      </c>
      <c r="B27" s="954" t="s">
        <v>1885</v>
      </c>
      <c r="C27" s="955" t="s">
        <v>1886</v>
      </c>
      <c r="D27" s="956"/>
      <c r="E27" s="957"/>
      <c r="F27" s="958" t="s">
        <v>657</v>
      </c>
      <c r="G27" s="958" t="s">
        <v>657</v>
      </c>
      <c r="H27" s="959"/>
      <c r="I27" s="960"/>
    </row>
    <row r="28" spans="1:10" ht="39" thickBot="1" x14ac:dyDescent="0.25">
      <c r="A28" s="966" t="s">
        <v>1813</v>
      </c>
      <c r="B28" s="954" t="s">
        <v>1885</v>
      </c>
      <c r="C28" s="952" t="s">
        <v>1887</v>
      </c>
      <c r="D28" s="961" t="s">
        <v>1620</v>
      </c>
      <c r="E28" s="962" t="s">
        <v>1888</v>
      </c>
      <c r="F28" s="963" t="s">
        <v>1622</v>
      </c>
      <c r="G28" s="963" t="s">
        <v>1622</v>
      </c>
      <c r="H28" s="964" t="s">
        <v>1623</v>
      </c>
      <c r="I28" s="971" t="str">
        <f>'00 - Cover'!F11</f>
        <v>969500Z05GRNU3KPEY94</v>
      </c>
      <c r="J28" s="971" t="str">
        <f>I28</f>
        <v>969500Z05GRNU3KPEY94</v>
      </c>
    </row>
    <row r="29" spans="1:10" ht="39" thickBot="1" x14ac:dyDescent="0.25">
      <c r="A29" s="966" t="s">
        <v>1813</v>
      </c>
      <c r="B29" s="954" t="s">
        <v>1885</v>
      </c>
      <c r="C29" s="952" t="s">
        <v>1889</v>
      </c>
      <c r="D29" s="961" t="s">
        <v>1890</v>
      </c>
      <c r="E29" s="962" t="s">
        <v>1891</v>
      </c>
      <c r="F29" s="963" t="s">
        <v>1622</v>
      </c>
      <c r="G29" s="963" t="s">
        <v>1622</v>
      </c>
      <c r="H29" s="964" t="s">
        <v>1768</v>
      </c>
      <c r="I29" s="962" t="s">
        <v>722</v>
      </c>
      <c r="J29" s="962" t="s">
        <v>723</v>
      </c>
    </row>
    <row r="30" spans="1:10" ht="39" thickBot="1" x14ac:dyDescent="0.25">
      <c r="A30" s="966" t="s">
        <v>1813</v>
      </c>
      <c r="B30" s="954" t="s">
        <v>1885</v>
      </c>
      <c r="C30" s="952" t="s">
        <v>1892</v>
      </c>
      <c r="D30" s="961" t="s">
        <v>1893</v>
      </c>
      <c r="E30" s="962" t="s">
        <v>1894</v>
      </c>
      <c r="F30" s="963" t="s">
        <v>1622</v>
      </c>
      <c r="G30" s="963" t="s">
        <v>1622</v>
      </c>
      <c r="H30" s="964" t="s">
        <v>1768</v>
      </c>
      <c r="I30" s="962" t="str">
        <f>I29</f>
        <v>FR001400MGQ7</v>
      </c>
      <c r="J30" s="962" t="str">
        <f>J29</f>
        <v>FR001400MGO2</v>
      </c>
    </row>
    <row r="31" spans="1:10" ht="39" thickBot="1" x14ac:dyDescent="0.25">
      <c r="A31" s="966" t="s">
        <v>1813</v>
      </c>
      <c r="B31" s="954" t="s">
        <v>1885</v>
      </c>
      <c r="C31" s="952" t="s">
        <v>1895</v>
      </c>
      <c r="D31" s="961" t="s">
        <v>1896</v>
      </c>
      <c r="E31" s="962" t="s">
        <v>1897</v>
      </c>
      <c r="F31" s="963" t="s">
        <v>1622</v>
      </c>
      <c r="G31" s="963" t="s">
        <v>1666</v>
      </c>
      <c r="H31" s="964" t="s">
        <v>1898</v>
      </c>
      <c r="I31" s="962" t="str">
        <f>I30</f>
        <v>FR001400MGQ7</v>
      </c>
      <c r="J31" s="962" t="str">
        <f>J30</f>
        <v>FR001400MGO2</v>
      </c>
    </row>
    <row r="32" spans="1:10" ht="39" thickBot="1" x14ac:dyDescent="0.25">
      <c r="A32" s="966" t="s">
        <v>1813</v>
      </c>
      <c r="B32" s="954" t="s">
        <v>1885</v>
      </c>
      <c r="C32" s="952" t="s">
        <v>1899</v>
      </c>
      <c r="D32" s="961" t="s">
        <v>1900</v>
      </c>
      <c r="E32" s="962" t="s">
        <v>1901</v>
      </c>
      <c r="F32" s="963" t="s">
        <v>1622</v>
      </c>
      <c r="G32" s="963" t="s">
        <v>1666</v>
      </c>
      <c r="H32" s="964" t="s">
        <v>1631</v>
      </c>
      <c r="I32" s="977" t="str">
        <f>'11 - Notes Follow-up'!E12</f>
        <v>Class A Notes</v>
      </c>
      <c r="J32" s="977" t="str">
        <f>'11 - Notes Follow-up'!M12</f>
        <v>Class B Notes</v>
      </c>
    </row>
    <row r="33" spans="1:10" ht="90" thickBot="1" x14ac:dyDescent="0.25">
      <c r="A33" s="966" t="s">
        <v>1813</v>
      </c>
      <c r="B33" s="954" t="s">
        <v>1885</v>
      </c>
      <c r="C33" s="952" t="s">
        <v>1902</v>
      </c>
      <c r="D33" s="961" t="s">
        <v>1903</v>
      </c>
      <c r="E33" s="962" t="s">
        <v>1904</v>
      </c>
      <c r="F33" s="963" t="s">
        <v>1622</v>
      </c>
      <c r="G33" s="963" t="s">
        <v>1622</v>
      </c>
      <c r="H33" s="964" t="s">
        <v>1649</v>
      </c>
      <c r="I33" s="962" t="s">
        <v>883</v>
      </c>
      <c r="J33" s="962" t="s">
        <v>883</v>
      </c>
    </row>
    <row r="34" spans="1:10" ht="39" thickBot="1" x14ac:dyDescent="0.25">
      <c r="A34" s="966" t="s">
        <v>1813</v>
      </c>
      <c r="B34" s="954" t="s">
        <v>1885</v>
      </c>
      <c r="C34" s="952" t="s">
        <v>1905</v>
      </c>
      <c r="D34" s="961" t="s">
        <v>1906</v>
      </c>
      <c r="E34" s="962" t="s">
        <v>1907</v>
      </c>
      <c r="F34" s="963" t="s">
        <v>1622</v>
      </c>
      <c r="G34" s="963" t="s">
        <v>1622</v>
      </c>
      <c r="H34" s="964" t="s">
        <v>1872</v>
      </c>
      <c r="I34" s="962" t="s">
        <v>687</v>
      </c>
      <c r="J34" s="962" t="s">
        <v>687</v>
      </c>
    </row>
    <row r="35" spans="1:10" ht="39" thickBot="1" x14ac:dyDescent="0.25">
      <c r="A35" s="966" t="s">
        <v>1813</v>
      </c>
      <c r="B35" s="954" t="s">
        <v>1885</v>
      </c>
      <c r="C35" s="952" t="s">
        <v>1908</v>
      </c>
      <c r="D35" s="961" t="s">
        <v>1909</v>
      </c>
      <c r="E35" s="962" t="s">
        <v>1910</v>
      </c>
      <c r="F35" s="963" t="s">
        <v>1622</v>
      </c>
      <c r="G35" s="963" t="s">
        <v>1622</v>
      </c>
      <c r="H35" s="964" t="s">
        <v>1670</v>
      </c>
      <c r="I35" s="979" t="str">
        <f>TEXT(683500000,"### ###,00")&amp;" EUR"</f>
        <v>683 500 000,00 EUR</v>
      </c>
      <c r="J35" s="979" t="str">
        <f>TEXT(67585000,"### ###,00")&amp;" EUR"</f>
        <v>67 585 000,00 EUR</v>
      </c>
    </row>
    <row r="36" spans="1:10" ht="39" thickBot="1" x14ac:dyDescent="0.25">
      <c r="A36" s="966" t="s">
        <v>1813</v>
      </c>
      <c r="B36" s="954" t="s">
        <v>1885</v>
      </c>
      <c r="C36" s="952" t="s">
        <v>1911</v>
      </c>
      <c r="D36" s="961" t="s">
        <v>1912</v>
      </c>
      <c r="E36" s="962" t="s">
        <v>1913</v>
      </c>
      <c r="F36" s="963" t="s">
        <v>1622</v>
      </c>
      <c r="G36" s="963" t="s">
        <v>1622</v>
      </c>
      <c r="H36" s="964" t="s">
        <v>1670</v>
      </c>
      <c r="I36" s="962" t="str">
        <f>TEXT('11 - Notes Follow-up'!G24,"### ###,00")&amp;" EUR"</f>
        <v>615 449 465,71 EUR</v>
      </c>
      <c r="J36" s="962" t="str">
        <f>TEXT('11 - Notes Follow-up'!O24,"### ###,00")&amp;" EUR"</f>
        <v>67 585 000,00 EUR</v>
      </c>
    </row>
    <row r="37" spans="1:10" ht="90" thickBot="1" x14ac:dyDescent="0.25">
      <c r="A37" s="966" t="s">
        <v>1813</v>
      </c>
      <c r="B37" s="954" t="s">
        <v>1885</v>
      </c>
      <c r="C37" s="952" t="s">
        <v>1914</v>
      </c>
      <c r="D37" s="961" t="s">
        <v>1915</v>
      </c>
      <c r="E37" s="962" t="s">
        <v>1916</v>
      </c>
      <c r="F37" s="963" t="s">
        <v>1622</v>
      </c>
      <c r="G37" s="963" t="s">
        <v>1622</v>
      </c>
      <c r="H37" s="964" t="s">
        <v>1649</v>
      </c>
      <c r="I37" s="962" t="s">
        <v>886</v>
      </c>
      <c r="J37" s="962" t="s">
        <v>886</v>
      </c>
    </row>
    <row r="38" spans="1:10" ht="39" thickBot="1" x14ac:dyDescent="0.25">
      <c r="A38" s="966" t="s">
        <v>1813</v>
      </c>
      <c r="B38" s="954" t="s">
        <v>1885</v>
      </c>
      <c r="C38" s="952" t="s">
        <v>1917</v>
      </c>
      <c r="D38" s="961" t="s">
        <v>675</v>
      </c>
      <c r="E38" s="962" t="s">
        <v>1918</v>
      </c>
      <c r="F38" s="963" t="s">
        <v>1622</v>
      </c>
      <c r="G38" s="963" t="s">
        <v>1666</v>
      </c>
      <c r="H38" s="964" t="s">
        <v>1627</v>
      </c>
      <c r="I38" s="978">
        <f>'11 - Notes Follow-up'!B24</f>
        <v>45590</v>
      </c>
      <c r="J38" s="978">
        <f>I38</f>
        <v>45590</v>
      </c>
    </row>
    <row r="39" spans="1:10" ht="39" thickBot="1" x14ac:dyDescent="0.25">
      <c r="A39" s="966" t="s">
        <v>1813</v>
      </c>
      <c r="B39" s="954" t="s">
        <v>1885</v>
      </c>
      <c r="C39" s="952" t="s">
        <v>1919</v>
      </c>
      <c r="D39" s="961" t="s">
        <v>1920</v>
      </c>
      <c r="E39" s="962" t="s">
        <v>1921</v>
      </c>
      <c r="F39" s="963" t="s">
        <v>1622</v>
      </c>
      <c r="G39" s="963" t="s">
        <v>1666</v>
      </c>
      <c r="H39" s="964" t="s">
        <v>1627</v>
      </c>
      <c r="I39" s="978">
        <f>I38</f>
        <v>45590</v>
      </c>
      <c r="J39" s="978">
        <f>J38</f>
        <v>45590</v>
      </c>
    </row>
    <row r="40" spans="1:10" ht="39" thickBot="1" x14ac:dyDescent="0.25">
      <c r="A40" s="966" t="s">
        <v>1813</v>
      </c>
      <c r="B40" s="954" t="s">
        <v>1885</v>
      </c>
      <c r="C40" s="952" t="s">
        <v>1922</v>
      </c>
      <c r="D40" s="961" t="s">
        <v>1923</v>
      </c>
      <c r="E40" s="962" t="s">
        <v>1924</v>
      </c>
      <c r="F40" s="963" t="s">
        <v>1622</v>
      </c>
      <c r="G40" s="963" t="s">
        <v>1622</v>
      </c>
      <c r="H40" s="964" t="s">
        <v>1692</v>
      </c>
      <c r="I40" s="980">
        <f>'12 - Notes Interest'!G17</f>
        <v>2.5000000000000001E-3</v>
      </c>
      <c r="J40" s="980">
        <f>'12 - Notes Interest'!G23</f>
        <v>0</v>
      </c>
    </row>
    <row r="41" spans="1:10" ht="39" thickBot="1" x14ac:dyDescent="0.25">
      <c r="A41" s="966" t="s">
        <v>1813</v>
      </c>
      <c r="B41" s="954" t="s">
        <v>1885</v>
      </c>
      <c r="C41" s="952" t="s">
        <v>1925</v>
      </c>
      <c r="D41" s="961" t="s">
        <v>1926</v>
      </c>
      <c r="E41" s="962" t="s">
        <v>1927</v>
      </c>
      <c r="F41" s="963" t="s">
        <v>1622</v>
      </c>
      <c r="G41" s="963" t="s">
        <v>1666</v>
      </c>
      <c r="H41" s="964" t="s">
        <v>1692</v>
      </c>
      <c r="I41" s="992">
        <f>I40</f>
        <v>2.5000000000000001E-3</v>
      </c>
      <c r="J41" s="992">
        <f>J40</f>
        <v>0</v>
      </c>
    </row>
    <row r="42" spans="1:10" ht="39" thickBot="1" x14ac:dyDescent="0.25">
      <c r="A42" s="966" t="s">
        <v>1813</v>
      </c>
      <c r="B42" s="954" t="s">
        <v>1885</v>
      </c>
      <c r="C42" s="952" t="s">
        <v>1928</v>
      </c>
      <c r="D42" s="961" t="s">
        <v>1929</v>
      </c>
      <c r="E42" s="962" t="s">
        <v>1930</v>
      </c>
      <c r="F42" s="963" t="s">
        <v>1622</v>
      </c>
      <c r="G42" s="963" t="s">
        <v>1666</v>
      </c>
      <c r="H42" s="964" t="s">
        <v>1692</v>
      </c>
      <c r="I42" s="962" t="s">
        <v>2424</v>
      </c>
      <c r="J42" s="962" t="s">
        <v>2424</v>
      </c>
    </row>
    <row r="43" spans="1:10" ht="39" thickBot="1" x14ac:dyDescent="0.25">
      <c r="A43" s="966" t="s">
        <v>1813</v>
      </c>
      <c r="B43" s="954" t="s">
        <v>1885</v>
      </c>
      <c r="C43" s="952" t="s">
        <v>1931</v>
      </c>
      <c r="D43" s="961" t="s">
        <v>1932</v>
      </c>
      <c r="E43" s="962" t="s">
        <v>1933</v>
      </c>
      <c r="F43" s="963" t="s">
        <v>1622</v>
      </c>
      <c r="G43" s="963" t="s">
        <v>1666</v>
      </c>
      <c r="H43" s="964" t="s">
        <v>1692</v>
      </c>
      <c r="I43" s="962" t="s">
        <v>2424</v>
      </c>
      <c r="J43" s="962" t="s">
        <v>2424</v>
      </c>
    </row>
    <row r="44" spans="1:10" ht="39" thickBot="1" x14ac:dyDescent="0.25">
      <c r="A44" s="966" t="s">
        <v>1813</v>
      </c>
      <c r="B44" s="954" t="s">
        <v>1885</v>
      </c>
      <c r="C44" s="952" t="s">
        <v>1934</v>
      </c>
      <c r="D44" s="961" t="s">
        <v>1935</v>
      </c>
      <c r="E44" s="962" t="s">
        <v>1936</v>
      </c>
      <c r="F44" s="963" t="s">
        <v>1622</v>
      </c>
      <c r="G44" s="963" t="s">
        <v>1666</v>
      </c>
      <c r="H44" s="964" t="s">
        <v>1692</v>
      </c>
      <c r="I44" s="962" t="s">
        <v>2424</v>
      </c>
      <c r="J44" s="962" t="s">
        <v>2424</v>
      </c>
    </row>
    <row r="45" spans="1:10" ht="39" thickBot="1" x14ac:dyDescent="0.25">
      <c r="A45" s="966" t="s">
        <v>1813</v>
      </c>
      <c r="B45" s="954" t="s">
        <v>1885</v>
      </c>
      <c r="C45" s="952" t="s">
        <v>1937</v>
      </c>
      <c r="D45" s="961" t="s">
        <v>1938</v>
      </c>
      <c r="E45" s="962" t="s">
        <v>1939</v>
      </c>
      <c r="F45" s="963" t="s">
        <v>1622</v>
      </c>
      <c r="G45" s="963" t="s">
        <v>1666</v>
      </c>
      <c r="H45" s="964" t="s">
        <v>1627</v>
      </c>
      <c r="I45" s="962" t="s">
        <v>2424</v>
      </c>
      <c r="J45" s="962" t="s">
        <v>2424</v>
      </c>
    </row>
    <row r="46" spans="1:10" ht="77.25" thickBot="1" x14ac:dyDescent="0.25">
      <c r="A46" s="966" t="s">
        <v>1813</v>
      </c>
      <c r="B46" s="954" t="s">
        <v>1885</v>
      </c>
      <c r="C46" s="952" t="s">
        <v>1940</v>
      </c>
      <c r="D46" s="961" t="s">
        <v>1941</v>
      </c>
      <c r="E46" s="962" t="s">
        <v>1942</v>
      </c>
      <c r="F46" s="963" t="s">
        <v>1622</v>
      </c>
      <c r="G46" s="963" t="s">
        <v>1666</v>
      </c>
      <c r="H46" s="964" t="s">
        <v>1649</v>
      </c>
      <c r="I46" s="962" t="s">
        <v>2443</v>
      </c>
      <c r="J46" s="962" t="s">
        <v>2443</v>
      </c>
    </row>
    <row r="47" spans="1:10" ht="409.6" thickBot="1" x14ac:dyDescent="0.25">
      <c r="A47" s="966" t="s">
        <v>1813</v>
      </c>
      <c r="B47" s="954" t="s">
        <v>1885</v>
      </c>
      <c r="C47" s="952" t="s">
        <v>1943</v>
      </c>
      <c r="D47" s="961" t="s">
        <v>1944</v>
      </c>
      <c r="E47" s="962" t="s">
        <v>1945</v>
      </c>
      <c r="F47" s="963" t="s">
        <v>1622</v>
      </c>
      <c r="G47" s="963" t="s">
        <v>1666</v>
      </c>
      <c r="H47" s="964" t="s">
        <v>1649</v>
      </c>
      <c r="I47" s="962" t="s">
        <v>2424</v>
      </c>
      <c r="J47" s="962" t="s">
        <v>2424</v>
      </c>
    </row>
    <row r="48" spans="1:10" ht="204.75" thickBot="1" x14ac:dyDescent="0.25">
      <c r="A48" s="966" t="s">
        <v>1813</v>
      </c>
      <c r="B48" s="954" t="s">
        <v>1885</v>
      </c>
      <c r="C48" s="952" t="s">
        <v>1946</v>
      </c>
      <c r="D48" s="961" t="s">
        <v>1947</v>
      </c>
      <c r="E48" s="962" t="s">
        <v>1948</v>
      </c>
      <c r="F48" s="963" t="s">
        <v>1622</v>
      </c>
      <c r="G48" s="963" t="s">
        <v>1666</v>
      </c>
      <c r="H48" s="964" t="s">
        <v>1649</v>
      </c>
      <c r="I48" s="962" t="s">
        <v>2424</v>
      </c>
      <c r="J48" s="962" t="s">
        <v>2424</v>
      </c>
    </row>
    <row r="49" spans="1:10" ht="39" thickBot="1" x14ac:dyDescent="0.25">
      <c r="A49" s="966" t="s">
        <v>1813</v>
      </c>
      <c r="B49" s="954" t="s">
        <v>1885</v>
      </c>
      <c r="C49" s="952" t="s">
        <v>1949</v>
      </c>
      <c r="D49" s="961" t="s">
        <v>676</v>
      </c>
      <c r="E49" s="962" t="s">
        <v>1950</v>
      </c>
      <c r="F49" s="963" t="s">
        <v>1622</v>
      </c>
      <c r="G49" s="963" t="s">
        <v>1622</v>
      </c>
      <c r="H49" s="964" t="s">
        <v>1627</v>
      </c>
      <c r="I49" s="978">
        <f>'00 - Cover'!$F$19</f>
        <v>45268</v>
      </c>
      <c r="J49" s="978">
        <f>'00 - Cover'!$F$19</f>
        <v>45268</v>
      </c>
    </row>
    <row r="50" spans="1:10" ht="39" thickBot="1" x14ac:dyDescent="0.25">
      <c r="A50" s="966" t="s">
        <v>1813</v>
      </c>
      <c r="B50" s="954" t="s">
        <v>1885</v>
      </c>
      <c r="C50" s="952" t="s">
        <v>1951</v>
      </c>
      <c r="D50" s="961" t="s">
        <v>1952</v>
      </c>
      <c r="E50" s="962" t="s">
        <v>1953</v>
      </c>
      <c r="F50" s="963" t="s">
        <v>1622</v>
      </c>
      <c r="G50" s="963" t="s">
        <v>1666</v>
      </c>
      <c r="H50" s="964" t="s">
        <v>1627</v>
      </c>
      <c r="I50" s="978">
        <f>'17 - Calendar'!$K$39</f>
        <v>45407</v>
      </c>
      <c r="J50" s="978">
        <f>'17 - Calendar'!$K$39</f>
        <v>45407</v>
      </c>
    </row>
    <row r="51" spans="1:10" ht="39" thickBot="1" x14ac:dyDescent="0.25">
      <c r="A51" s="966" t="s">
        <v>1813</v>
      </c>
      <c r="B51" s="954" t="s">
        <v>1885</v>
      </c>
      <c r="C51" s="952" t="s">
        <v>1954</v>
      </c>
      <c r="D51" s="961" t="s">
        <v>1955</v>
      </c>
      <c r="E51" s="962" t="s">
        <v>1956</v>
      </c>
      <c r="F51" s="963" t="s">
        <v>1622</v>
      </c>
      <c r="G51" s="963" t="s">
        <v>1666</v>
      </c>
      <c r="H51" s="964" t="s">
        <v>1627</v>
      </c>
      <c r="I51" s="978">
        <v>55451</v>
      </c>
      <c r="J51" s="978">
        <v>55451</v>
      </c>
    </row>
    <row r="52" spans="1:10" ht="90" thickBot="1" x14ac:dyDescent="0.25">
      <c r="A52" s="966" t="s">
        <v>1813</v>
      </c>
      <c r="B52" s="954" t="s">
        <v>1885</v>
      </c>
      <c r="C52" s="952" t="s">
        <v>1957</v>
      </c>
      <c r="D52" s="961" t="s">
        <v>1958</v>
      </c>
      <c r="E52" s="962" t="s">
        <v>1959</v>
      </c>
      <c r="F52" s="963" t="s">
        <v>1622</v>
      </c>
      <c r="G52" s="963" t="s">
        <v>1666</v>
      </c>
      <c r="H52" s="964" t="s">
        <v>1649</v>
      </c>
      <c r="I52" s="962" t="s">
        <v>2424</v>
      </c>
      <c r="J52" s="962" t="s">
        <v>2424</v>
      </c>
    </row>
    <row r="53" spans="1:10" ht="39" thickBot="1" x14ac:dyDescent="0.25">
      <c r="A53" s="966" t="s">
        <v>1813</v>
      </c>
      <c r="B53" s="954" t="s">
        <v>1885</v>
      </c>
      <c r="C53" s="952" t="s">
        <v>1960</v>
      </c>
      <c r="D53" s="961" t="s">
        <v>1961</v>
      </c>
      <c r="E53" s="962" t="s">
        <v>1962</v>
      </c>
      <c r="F53" s="963" t="s">
        <v>1622</v>
      </c>
      <c r="G53" s="963" t="s">
        <v>1666</v>
      </c>
      <c r="H53" s="964" t="s">
        <v>1627</v>
      </c>
      <c r="I53" s="962" t="s">
        <v>2424</v>
      </c>
      <c r="J53" s="962" t="s">
        <v>2424</v>
      </c>
    </row>
    <row r="54" spans="1:10" ht="39" thickBot="1" x14ac:dyDescent="0.25">
      <c r="A54" s="966" t="s">
        <v>1813</v>
      </c>
      <c r="B54" s="954" t="s">
        <v>1885</v>
      </c>
      <c r="C54" s="952" t="s">
        <v>1963</v>
      </c>
      <c r="D54" s="961" t="s">
        <v>1964</v>
      </c>
      <c r="E54" s="962" t="s">
        <v>1965</v>
      </c>
      <c r="F54" s="963" t="s">
        <v>1622</v>
      </c>
      <c r="G54" s="963" t="s">
        <v>1666</v>
      </c>
      <c r="H54" s="964" t="s">
        <v>1768</v>
      </c>
      <c r="I54" s="962" t="s">
        <v>2424</v>
      </c>
      <c r="J54" s="962" t="s">
        <v>2424</v>
      </c>
    </row>
    <row r="55" spans="1:10" ht="39" thickBot="1" x14ac:dyDescent="0.25">
      <c r="A55" s="966" t="s">
        <v>1813</v>
      </c>
      <c r="B55" s="954" t="s">
        <v>1885</v>
      </c>
      <c r="C55" s="952" t="s">
        <v>1966</v>
      </c>
      <c r="D55" s="961" t="s">
        <v>1967</v>
      </c>
      <c r="E55" s="962" t="s">
        <v>1968</v>
      </c>
      <c r="F55" s="963" t="s">
        <v>1622</v>
      </c>
      <c r="G55" s="963" t="s">
        <v>1666</v>
      </c>
      <c r="H55" s="964" t="s">
        <v>1627</v>
      </c>
      <c r="I55" s="962" t="s">
        <v>2424</v>
      </c>
      <c r="J55" s="962" t="s">
        <v>2424</v>
      </c>
    </row>
    <row r="56" spans="1:10" ht="141" thickBot="1" x14ac:dyDescent="0.25">
      <c r="A56" s="966" t="s">
        <v>1813</v>
      </c>
      <c r="B56" s="954" t="s">
        <v>1885</v>
      </c>
      <c r="C56" s="952" t="s">
        <v>1969</v>
      </c>
      <c r="D56" s="961" t="s">
        <v>1970</v>
      </c>
      <c r="E56" s="962" t="s">
        <v>1971</v>
      </c>
      <c r="F56" s="963" t="s">
        <v>1622</v>
      </c>
      <c r="G56" s="963" t="s">
        <v>1666</v>
      </c>
      <c r="H56" s="964" t="s">
        <v>1649</v>
      </c>
      <c r="I56" s="962" t="s">
        <v>2446</v>
      </c>
      <c r="J56" s="962" t="s">
        <v>2424</v>
      </c>
    </row>
    <row r="57" spans="1:10" ht="39" thickBot="1" x14ac:dyDescent="0.25">
      <c r="A57" s="966" t="s">
        <v>1813</v>
      </c>
      <c r="B57" s="954" t="s">
        <v>1885</v>
      </c>
      <c r="C57" s="952" t="s">
        <v>1972</v>
      </c>
      <c r="D57" s="961" t="s">
        <v>1973</v>
      </c>
      <c r="E57" s="962" t="s">
        <v>2538</v>
      </c>
      <c r="F57" s="963" t="s">
        <v>1622</v>
      </c>
      <c r="G57" s="963" t="s">
        <v>1666</v>
      </c>
      <c r="H57" s="964" t="s">
        <v>1649</v>
      </c>
      <c r="I57" s="962" t="s">
        <v>883</v>
      </c>
      <c r="J57" s="962" t="s">
        <v>883</v>
      </c>
    </row>
    <row r="58" spans="1:10" ht="39" thickBot="1" x14ac:dyDescent="0.25">
      <c r="A58" s="966" t="s">
        <v>1813</v>
      </c>
      <c r="B58" s="954" t="s">
        <v>1885</v>
      </c>
      <c r="C58" s="952" t="s">
        <v>1974</v>
      </c>
      <c r="D58" s="961" t="s">
        <v>1975</v>
      </c>
      <c r="E58" s="962" t="s">
        <v>1976</v>
      </c>
      <c r="F58" s="963" t="s">
        <v>1622</v>
      </c>
      <c r="G58" s="963" t="s">
        <v>1666</v>
      </c>
      <c r="H58" s="964" t="s">
        <v>1692</v>
      </c>
      <c r="I58" s="962" t="s">
        <v>2424</v>
      </c>
      <c r="J58" s="962" t="s">
        <v>2424</v>
      </c>
    </row>
    <row r="59" spans="1:10" ht="39" thickBot="1" x14ac:dyDescent="0.25">
      <c r="A59" s="966" t="s">
        <v>1813</v>
      </c>
      <c r="B59" s="954" t="s">
        <v>1885</v>
      </c>
      <c r="C59" s="952" t="s">
        <v>1977</v>
      </c>
      <c r="D59" s="961" t="s">
        <v>1978</v>
      </c>
      <c r="E59" s="962" t="s">
        <v>1979</v>
      </c>
      <c r="F59" s="963" t="s">
        <v>1622</v>
      </c>
      <c r="G59" s="963" t="s">
        <v>1666</v>
      </c>
      <c r="H59" s="964" t="s">
        <v>1692</v>
      </c>
      <c r="I59" s="962" t="s">
        <v>2424</v>
      </c>
      <c r="J59" s="962" t="s">
        <v>2424</v>
      </c>
    </row>
    <row r="60" spans="1:10" ht="39" thickBot="1" x14ac:dyDescent="0.25">
      <c r="A60" s="966" t="s">
        <v>1813</v>
      </c>
      <c r="B60" s="954" t="s">
        <v>1885</v>
      </c>
      <c r="C60" s="952" t="s">
        <v>1980</v>
      </c>
      <c r="D60" s="961" t="s">
        <v>1981</v>
      </c>
      <c r="E60" s="962" t="s">
        <v>1982</v>
      </c>
      <c r="F60" s="963" t="s">
        <v>1622</v>
      </c>
      <c r="G60" s="963" t="s">
        <v>1622</v>
      </c>
      <c r="H60" s="964" t="s">
        <v>1692</v>
      </c>
      <c r="I60" s="991">
        <f>('16 - Simplified Balance Sheet'!K16+'16 - Simplified Balance Sheet'!F21)/'16 - Simplified Balance Sheet'!K13</f>
        <v>0.12526139189553834</v>
      </c>
      <c r="J60" s="990">
        <v>0</v>
      </c>
    </row>
    <row r="61" spans="1:10" ht="39" thickBot="1" x14ac:dyDescent="0.25">
      <c r="A61" s="966" t="s">
        <v>1813</v>
      </c>
      <c r="B61" s="954" t="s">
        <v>1885</v>
      </c>
      <c r="C61" s="952" t="s">
        <v>1983</v>
      </c>
      <c r="D61" s="961" t="s">
        <v>1984</v>
      </c>
      <c r="E61" s="962" t="s">
        <v>1985</v>
      </c>
      <c r="F61" s="963" t="s">
        <v>1622</v>
      </c>
      <c r="G61" s="963" t="s">
        <v>1666</v>
      </c>
      <c r="H61" s="964" t="s">
        <v>1692</v>
      </c>
      <c r="I61" s="962" t="s">
        <v>2424</v>
      </c>
      <c r="J61" s="962" t="s">
        <v>2424</v>
      </c>
    </row>
    <row r="62" spans="1:10" ht="39" thickBot="1" x14ac:dyDescent="0.25">
      <c r="A62" s="966" t="s">
        <v>1813</v>
      </c>
      <c r="B62" s="954" t="s">
        <v>1885</v>
      </c>
      <c r="C62" s="952" t="s">
        <v>1986</v>
      </c>
      <c r="D62" s="961" t="s">
        <v>1987</v>
      </c>
      <c r="E62" s="962" t="s">
        <v>1988</v>
      </c>
      <c r="F62" s="963" t="s">
        <v>1622</v>
      </c>
      <c r="G62" s="963" t="s">
        <v>1622</v>
      </c>
      <c r="H62" s="964" t="s">
        <v>1768</v>
      </c>
      <c r="I62" s="962" t="s">
        <v>2507</v>
      </c>
      <c r="J62" s="962" t="s">
        <v>2508</v>
      </c>
    </row>
    <row r="63" spans="1:10" ht="39" thickBot="1" x14ac:dyDescent="0.25">
      <c r="A63" s="966" t="s">
        <v>1813</v>
      </c>
      <c r="B63" s="954" t="s">
        <v>1885</v>
      </c>
      <c r="C63" s="952" t="s">
        <v>1989</v>
      </c>
      <c r="D63" s="961" t="s">
        <v>1990</v>
      </c>
      <c r="E63" s="962" t="s">
        <v>1991</v>
      </c>
      <c r="F63" s="963" t="s">
        <v>1622</v>
      </c>
      <c r="G63" s="963" t="s">
        <v>1666</v>
      </c>
      <c r="H63" s="964" t="s">
        <v>1898</v>
      </c>
      <c r="I63" s="962" t="str">
        <f>I29</f>
        <v>FR001400MGQ7</v>
      </c>
      <c r="J63" s="962" t="str">
        <f>J29</f>
        <v>FR001400MGO2</v>
      </c>
    </row>
    <row r="64" spans="1:10" ht="39" thickBot="1" x14ac:dyDescent="0.25">
      <c r="A64" s="966" t="s">
        <v>1813</v>
      </c>
      <c r="B64" s="954" t="s">
        <v>1885</v>
      </c>
      <c r="C64" s="952" t="s">
        <v>1992</v>
      </c>
      <c r="D64" s="961" t="s">
        <v>1993</v>
      </c>
      <c r="E64" s="962" t="s">
        <v>1994</v>
      </c>
      <c r="F64" s="963" t="s">
        <v>1622</v>
      </c>
      <c r="G64" s="963" t="s">
        <v>1666</v>
      </c>
      <c r="H64" s="964" t="s">
        <v>1898</v>
      </c>
      <c r="I64" s="962" t="s">
        <v>726</v>
      </c>
      <c r="J64" s="962" t="s">
        <v>2445</v>
      </c>
    </row>
    <row r="65" spans="1:18" ht="39" thickBot="1" x14ac:dyDescent="0.25">
      <c r="A65" s="966" t="s">
        <v>1813</v>
      </c>
      <c r="B65" s="954" t="s">
        <v>1885</v>
      </c>
      <c r="C65" s="952" t="s">
        <v>1995</v>
      </c>
      <c r="D65" s="961" t="s">
        <v>1996</v>
      </c>
      <c r="E65" s="962" t="s">
        <v>1997</v>
      </c>
      <c r="F65" s="963" t="s">
        <v>1622</v>
      </c>
      <c r="G65" s="963" t="s">
        <v>1666</v>
      </c>
      <c r="H65" s="964" t="s">
        <v>1670</v>
      </c>
      <c r="I65" s="979" t="str">
        <f>TEXT('10 -Principal Deficiency Ledger'!K12,"### ###0,00")&amp;" EUR"</f>
        <v>0,00 EUR</v>
      </c>
      <c r="J65" s="962" t="str">
        <f>TEXT('10 -Principal Deficiency Ledger'!H12,"### ###0,00")&amp;" EUR"</f>
        <v>0,00 EUR</v>
      </c>
    </row>
    <row r="66" spans="1:18" ht="39" thickBot="1" x14ac:dyDescent="0.25">
      <c r="A66" s="966" t="s">
        <v>1813</v>
      </c>
      <c r="B66" s="954" t="s">
        <v>1885</v>
      </c>
      <c r="C66" s="952" t="s">
        <v>1998</v>
      </c>
      <c r="D66" s="961" t="s">
        <v>1999</v>
      </c>
      <c r="E66" s="962" t="s">
        <v>2000</v>
      </c>
      <c r="F66" s="963" t="s">
        <v>1622</v>
      </c>
      <c r="G66" s="963" t="s">
        <v>1666</v>
      </c>
      <c r="H66" s="964" t="s">
        <v>2001</v>
      </c>
      <c r="I66" s="962" t="s">
        <v>2424</v>
      </c>
      <c r="J66" s="962" t="s">
        <v>2424</v>
      </c>
    </row>
    <row r="67" spans="1:18" ht="39" thickBot="1" x14ac:dyDescent="0.25">
      <c r="A67" s="966" t="s">
        <v>1813</v>
      </c>
      <c r="B67" s="954" t="s">
        <v>1885</v>
      </c>
      <c r="C67" s="952" t="s">
        <v>2002</v>
      </c>
      <c r="D67" s="961" t="s">
        <v>2003</v>
      </c>
      <c r="E67" s="962" t="s">
        <v>2004</v>
      </c>
      <c r="F67" s="963" t="s">
        <v>1622</v>
      </c>
      <c r="G67" s="963" t="s">
        <v>1666</v>
      </c>
      <c r="H67" s="964" t="s">
        <v>1768</v>
      </c>
      <c r="I67" s="962" t="s">
        <v>2424</v>
      </c>
      <c r="J67" s="962" t="s">
        <v>2424</v>
      </c>
    </row>
    <row r="68" spans="1:18" ht="39" thickBot="1" x14ac:dyDescent="0.25">
      <c r="A68" s="966" t="s">
        <v>1813</v>
      </c>
      <c r="B68" s="954" t="s">
        <v>1885</v>
      </c>
      <c r="C68" s="952" t="s">
        <v>2005</v>
      </c>
      <c r="D68" s="961" t="s">
        <v>2006</v>
      </c>
      <c r="E68" s="962" t="s">
        <v>2007</v>
      </c>
      <c r="F68" s="963" t="s">
        <v>1622</v>
      </c>
      <c r="G68" s="963" t="s">
        <v>1666</v>
      </c>
      <c r="H68" s="964" t="s">
        <v>2008</v>
      </c>
      <c r="I68" s="962" t="s">
        <v>2424</v>
      </c>
      <c r="J68" s="962" t="s">
        <v>2424</v>
      </c>
    </row>
    <row r="69" spans="1:18" ht="102.75" thickBot="1" x14ac:dyDescent="0.25">
      <c r="A69" s="966" t="s">
        <v>1813</v>
      </c>
      <c r="B69" s="954" t="s">
        <v>1885</v>
      </c>
      <c r="C69" s="952" t="s">
        <v>2009</v>
      </c>
      <c r="D69" s="961" t="s">
        <v>2010</v>
      </c>
      <c r="E69" s="962" t="s">
        <v>2011</v>
      </c>
      <c r="F69" s="963" t="s">
        <v>1622</v>
      </c>
      <c r="G69" s="963" t="s">
        <v>1666</v>
      </c>
      <c r="H69" s="964" t="s">
        <v>1649</v>
      </c>
      <c r="I69" s="962" t="s">
        <v>2424</v>
      </c>
      <c r="J69" s="962" t="s">
        <v>2424</v>
      </c>
    </row>
    <row r="70" spans="1:18" ht="39" thickBot="1" x14ac:dyDescent="0.25">
      <c r="A70" s="966" t="s">
        <v>1813</v>
      </c>
      <c r="B70" s="954" t="s">
        <v>2012</v>
      </c>
      <c r="C70" s="955" t="s">
        <v>2013</v>
      </c>
      <c r="D70" s="956"/>
      <c r="E70" s="957"/>
      <c r="F70" s="958" t="s">
        <v>657</v>
      </c>
      <c r="G70" s="958" t="s">
        <v>657</v>
      </c>
      <c r="H70" s="959"/>
      <c r="I70" s="960"/>
    </row>
    <row r="71" spans="1:18" ht="39" thickBot="1" x14ac:dyDescent="0.25">
      <c r="A71" s="966" t="s">
        <v>1813</v>
      </c>
      <c r="B71" s="954" t="s">
        <v>2012</v>
      </c>
      <c r="C71" s="952" t="s">
        <v>2014</v>
      </c>
      <c r="D71" s="961" t="s">
        <v>1620</v>
      </c>
      <c r="E71" s="962" t="s">
        <v>1888</v>
      </c>
      <c r="F71" s="963" t="s">
        <v>1622</v>
      </c>
      <c r="G71" s="963" t="s">
        <v>1622</v>
      </c>
      <c r="H71" s="964" t="s">
        <v>1623</v>
      </c>
      <c r="I71" s="971" t="str">
        <f>I3</f>
        <v>969500Z05GRNU3KPEY94</v>
      </c>
      <c r="J71" s="971" t="str">
        <f>I71</f>
        <v>969500Z05GRNU3KPEY94</v>
      </c>
      <c r="K71" s="971" t="str">
        <f t="shared" ref="K71:L71" si="0">J71</f>
        <v>969500Z05GRNU3KPEY94</v>
      </c>
      <c r="L71" s="971" t="str">
        <f t="shared" si="0"/>
        <v>969500Z05GRNU3KPEY94</v>
      </c>
    </row>
    <row r="72" spans="1:18" ht="39" thickBot="1" x14ac:dyDescent="0.25">
      <c r="A72" s="966" t="s">
        <v>1813</v>
      </c>
      <c r="B72" s="954" t="s">
        <v>2012</v>
      </c>
      <c r="C72" s="952" t="s">
        <v>2015</v>
      </c>
      <c r="D72" s="961" t="s">
        <v>2016</v>
      </c>
      <c r="E72" s="962" t="s">
        <v>2017</v>
      </c>
      <c r="F72" s="963" t="s">
        <v>1622</v>
      </c>
      <c r="G72" s="963" t="s">
        <v>1622</v>
      </c>
      <c r="H72" s="964" t="s">
        <v>1768</v>
      </c>
      <c r="I72" s="964" t="str">
        <f>'13 - Issuer Account'!C10</f>
        <v>General Account 479325K</v>
      </c>
      <c r="J72" s="964" t="str">
        <f>'13 - Issuer Account'!C30</f>
        <v>Principal Account 479327R</v>
      </c>
      <c r="K72" s="964" t="str">
        <f>'13 - Issuer Account'!C41</f>
        <v>Interest Account 479326M</v>
      </c>
      <c r="L72" s="964" t="str">
        <f>'13 - Issuer Account'!C52</f>
        <v>Reserve Account 479328U</v>
      </c>
    </row>
    <row r="73" spans="1:18" ht="39" thickBot="1" x14ac:dyDescent="0.25">
      <c r="A73" s="966" t="s">
        <v>1813</v>
      </c>
      <c r="B73" s="954" t="s">
        <v>2012</v>
      </c>
      <c r="C73" s="952" t="s">
        <v>2018</v>
      </c>
      <c r="D73" s="961" t="s">
        <v>2019</v>
      </c>
      <c r="E73" s="962" t="s">
        <v>2020</v>
      </c>
      <c r="F73" s="963" t="s">
        <v>1622</v>
      </c>
      <c r="G73" s="963" t="s">
        <v>1622</v>
      </c>
      <c r="H73" s="964" t="s">
        <v>1768</v>
      </c>
      <c r="I73" s="964" t="str">
        <f>I72</f>
        <v>General Account 479325K</v>
      </c>
      <c r="J73" s="964" t="str">
        <f t="shared" ref="J73:L73" si="1">J72</f>
        <v>Principal Account 479327R</v>
      </c>
      <c r="K73" s="964" t="str">
        <f t="shared" si="1"/>
        <v>Interest Account 479326M</v>
      </c>
      <c r="L73" s="964" t="str">
        <f t="shared" si="1"/>
        <v>Reserve Account 479328U</v>
      </c>
    </row>
    <row r="74" spans="1:18" ht="102.75" thickBot="1" x14ac:dyDescent="0.25">
      <c r="A74" s="966" t="s">
        <v>1813</v>
      </c>
      <c r="B74" s="954" t="s">
        <v>2012</v>
      </c>
      <c r="C74" s="952" t="s">
        <v>2021</v>
      </c>
      <c r="D74" s="961" t="s">
        <v>2022</v>
      </c>
      <c r="E74" s="962" t="s">
        <v>2023</v>
      </c>
      <c r="F74" s="963" t="s">
        <v>1622</v>
      </c>
      <c r="G74" s="963" t="s">
        <v>1622</v>
      </c>
      <c r="H74" s="964" t="s">
        <v>1649</v>
      </c>
      <c r="I74" s="964" t="s">
        <v>883</v>
      </c>
      <c r="J74" s="964" t="s">
        <v>883</v>
      </c>
      <c r="K74" s="964" t="s">
        <v>883</v>
      </c>
      <c r="L74" s="964" t="s">
        <v>2444</v>
      </c>
    </row>
    <row r="75" spans="1:18" ht="51.75" thickBot="1" x14ac:dyDescent="0.25">
      <c r="A75" s="966" t="s">
        <v>1813</v>
      </c>
      <c r="B75" s="954" t="s">
        <v>2012</v>
      </c>
      <c r="C75" s="952" t="s">
        <v>2024</v>
      </c>
      <c r="D75" s="961" t="s">
        <v>2025</v>
      </c>
      <c r="E75" s="962" t="s">
        <v>2026</v>
      </c>
      <c r="F75" s="963" t="s">
        <v>1622</v>
      </c>
      <c r="G75" s="963" t="s">
        <v>1666</v>
      </c>
      <c r="H75" s="964" t="s">
        <v>1670</v>
      </c>
      <c r="I75" s="987" t="s">
        <v>2483</v>
      </c>
      <c r="J75" s="987" t="s">
        <v>2483</v>
      </c>
      <c r="K75" s="987" t="s">
        <v>2483</v>
      </c>
      <c r="L75" s="987" t="str">
        <f>TEXT(10252500,"### ###,00")&amp;" EUR"</f>
        <v>10 252 500,00 EUR</v>
      </c>
    </row>
    <row r="76" spans="1:18" ht="39" thickBot="1" x14ac:dyDescent="0.25">
      <c r="A76" s="966" t="s">
        <v>1813</v>
      </c>
      <c r="B76" s="954" t="s">
        <v>2012</v>
      </c>
      <c r="C76" s="952" t="s">
        <v>2027</v>
      </c>
      <c r="D76" s="961" t="s">
        <v>2028</v>
      </c>
      <c r="E76" s="962" t="s">
        <v>2029</v>
      </c>
      <c r="F76" s="963" t="s">
        <v>1622</v>
      </c>
      <c r="G76" s="963" t="s">
        <v>1622</v>
      </c>
      <c r="H76" s="964" t="s">
        <v>1670</v>
      </c>
      <c r="I76" s="964" t="str">
        <f>TEXT('13 - Issuer Account'!I26,"### ###0,00")&amp;" EUR"</f>
        <v>300,00 EUR</v>
      </c>
      <c r="J76" s="964" t="str">
        <f>TEXT('13 - Issuer Account'!I36,"### ###0,00")&amp;" EUR"</f>
        <v>0,00 EUR</v>
      </c>
      <c r="K76" s="964" t="str">
        <f>TEXT('13 - Issuer Account'!I48,"### ###0,00")&amp;" EUR"</f>
        <v>0,00 EUR</v>
      </c>
      <c r="L76" s="964" t="str">
        <f>TEXT('13 - Issuer Account'!I61,"### ###0,00")&amp;" EUR"</f>
        <v>9 507 056,72 EUR</v>
      </c>
    </row>
    <row r="77" spans="1:18" ht="39" thickBot="1" x14ac:dyDescent="0.25">
      <c r="A77" s="966" t="s">
        <v>1813</v>
      </c>
      <c r="B77" s="954" t="s">
        <v>2012</v>
      </c>
      <c r="C77" s="952" t="s">
        <v>2030</v>
      </c>
      <c r="D77" s="961" t="s">
        <v>2031</v>
      </c>
      <c r="E77" s="962" t="s">
        <v>2032</v>
      </c>
      <c r="F77" s="963" t="s">
        <v>1622</v>
      </c>
      <c r="G77" s="963" t="s">
        <v>1622</v>
      </c>
      <c r="H77" s="964" t="s">
        <v>1659</v>
      </c>
      <c r="I77" s="964" t="s">
        <v>2422</v>
      </c>
      <c r="J77" s="964" t="s">
        <v>2422</v>
      </c>
      <c r="K77" s="964" t="s">
        <v>2422</v>
      </c>
      <c r="L77" s="964" t="s">
        <v>2422</v>
      </c>
    </row>
    <row r="78" spans="1:18" ht="39" thickBot="1" x14ac:dyDescent="0.25">
      <c r="A78" s="966" t="s">
        <v>1813</v>
      </c>
      <c r="B78" s="954" t="s">
        <v>2033</v>
      </c>
      <c r="C78" s="955" t="s">
        <v>2034</v>
      </c>
      <c r="D78" s="956"/>
      <c r="E78" s="957"/>
      <c r="F78" s="958" t="s">
        <v>657</v>
      </c>
      <c r="G78" s="958" t="s">
        <v>657</v>
      </c>
      <c r="H78" s="959"/>
      <c r="I78" s="960"/>
    </row>
    <row r="79" spans="1:18" ht="39" thickBot="1" x14ac:dyDescent="0.25">
      <c r="A79" s="966" t="s">
        <v>1813</v>
      </c>
      <c r="B79" s="954" t="s">
        <v>2033</v>
      </c>
      <c r="C79" s="952" t="s">
        <v>2035</v>
      </c>
      <c r="D79" s="961" t="s">
        <v>1620</v>
      </c>
      <c r="E79" s="962" t="s">
        <v>1888</v>
      </c>
      <c r="F79" s="963" t="s">
        <v>1622</v>
      </c>
      <c r="G79" s="963" t="s">
        <v>1622</v>
      </c>
      <c r="H79" s="964" t="s">
        <v>1623</v>
      </c>
      <c r="I79" s="971" t="str">
        <f>'00 - Cover'!$F$11</f>
        <v>969500Z05GRNU3KPEY94</v>
      </c>
      <c r="J79" s="971" t="str">
        <f>'00 - Cover'!$F$11</f>
        <v>969500Z05GRNU3KPEY94</v>
      </c>
      <c r="K79" s="971" t="str">
        <f>'00 - Cover'!$F$11</f>
        <v>969500Z05GRNU3KPEY94</v>
      </c>
      <c r="L79" s="971" t="str">
        <f>'00 - Cover'!$F$11</f>
        <v>969500Z05GRNU3KPEY94</v>
      </c>
      <c r="M79" s="971" t="str">
        <f>'00 - Cover'!$F$11</f>
        <v>969500Z05GRNU3KPEY94</v>
      </c>
      <c r="N79" s="971" t="str">
        <f>'00 - Cover'!$F$11</f>
        <v>969500Z05GRNU3KPEY94</v>
      </c>
      <c r="O79" s="971" t="str">
        <f>'00 - Cover'!$F$11</f>
        <v>969500Z05GRNU3KPEY94</v>
      </c>
      <c r="P79" s="971" t="str">
        <f>'00 - Cover'!$F$11</f>
        <v>969500Z05GRNU3KPEY94</v>
      </c>
      <c r="Q79" s="971" t="str">
        <f>'00 - Cover'!$F$11</f>
        <v>969500Z05GRNU3KPEY94</v>
      </c>
      <c r="R79" s="971" t="str">
        <f>'00 - Cover'!$F$11</f>
        <v>969500Z05GRNU3KPEY94</v>
      </c>
    </row>
    <row r="80" spans="1:18" ht="39" thickBot="1" x14ac:dyDescent="0.25">
      <c r="A80" s="966" t="s">
        <v>1813</v>
      </c>
      <c r="B80" s="954" t="s">
        <v>2033</v>
      </c>
      <c r="C80" s="952" t="s">
        <v>2036</v>
      </c>
      <c r="D80" s="961" t="s">
        <v>2037</v>
      </c>
      <c r="E80" s="962" t="s">
        <v>2038</v>
      </c>
      <c r="F80" s="963" t="s">
        <v>1622</v>
      </c>
      <c r="G80" s="963" t="s">
        <v>1622</v>
      </c>
      <c r="H80" s="964" t="s">
        <v>2001</v>
      </c>
      <c r="I80" s="964" t="s">
        <v>2492</v>
      </c>
      <c r="J80" s="964" t="s">
        <v>899</v>
      </c>
      <c r="K80" s="964" t="s">
        <v>899</v>
      </c>
      <c r="L80" s="964" t="s">
        <v>899</v>
      </c>
      <c r="M80" s="964" t="s">
        <v>899</v>
      </c>
      <c r="N80" s="964" t="s">
        <v>2486</v>
      </c>
      <c r="O80" s="964" t="s">
        <v>2486</v>
      </c>
      <c r="P80" s="964" t="s">
        <v>2486</v>
      </c>
      <c r="Q80" s="964" t="s">
        <v>2488</v>
      </c>
      <c r="R80" s="964" t="s">
        <v>2490</v>
      </c>
    </row>
    <row r="81" spans="1:18" ht="39" thickBot="1" x14ac:dyDescent="0.25">
      <c r="A81" s="966" t="s">
        <v>1813</v>
      </c>
      <c r="B81" s="954" t="s">
        <v>2033</v>
      </c>
      <c r="C81" s="952" t="s">
        <v>2039</v>
      </c>
      <c r="D81" s="961" t="s">
        <v>2040</v>
      </c>
      <c r="E81" s="962" t="s">
        <v>2041</v>
      </c>
      <c r="F81" s="963" t="s">
        <v>1622</v>
      </c>
      <c r="G81" s="963" t="s">
        <v>1622</v>
      </c>
      <c r="H81" s="964" t="s">
        <v>1631</v>
      </c>
      <c r="I81" s="964" t="s">
        <v>249</v>
      </c>
      <c r="J81" s="964" t="s">
        <v>250</v>
      </c>
      <c r="K81" s="964" t="s">
        <v>250</v>
      </c>
      <c r="L81" s="964" t="s">
        <v>250</v>
      </c>
      <c r="M81" s="964" t="s">
        <v>250</v>
      </c>
      <c r="N81" s="964" t="s">
        <v>1518</v>
      </c>
      <c r="O81" s="964" t="s">
        <v>1518</v>
      </c>
      <c r="P81" s="964" t="s">
        <v>1518</v>
      </c>
      <c r="Q81" s="964" t="s">
        <v>2489</v>
      </c>
      <c r="R81" s="964" t="s">
        <v>2491</v>
      </c>
    </row>
    <row r="82" spans="1:18" ht="409.6" thickBot="1" x14ac:dyDescent="0.25">
      <c r="A82" s="966" t="s">
        <v>1813</v>
      </c>
      <c r="B82" s="954" t="s">
        <v>2033</v>
      </c>
      <c r="C82" s="952" t="s">
        <v>2042</v>
      </c>
      <c r="D82" s="961" t="s">
        <v>2043</v>
      </c>
      <c r="E82" s="969" t="s">
        <v>2044</v>
      </c>
      <c r="F82" s="963" t="s">
        <v>1622</v>
      </c>
      <c r="G82" s="963" t="s">
        <v>1622</v>
      </c>
      <c r="H82" s="964" t="s">
        <v>1649</v>
      </c>
      <c r="I82" s="964" t="s">
        <v>2497</v>
      </c>
      <c r="J82" s="964" t="s">
        <v>2502</v>
      </c>
      <c r="K82" s="964" t="s">
        <v>2420</v>
      </c>
      <c r="L82" s="964" t="s">
        <v>2498</v>
      </c>
      <c r="M82" s="964" t="s">
        <v>2501</v>
      </c>
      <c r="N82" s="964" t="s">
        <v>2500</v>
      </c>
      <c r="O82" s="964" t="s">
        <v>2499</v>
      </c>
      <c r="P82" s="964" t="s">
        <v>2503</v>
      </c>
      <c r="Q82" s="964" t="s">
        <v>2504</v>
      </c>
      <c r="R82" s="964" t="s">
        <v>2505</v>
      </c>
    </row>
    <row r="83" spans="1:18" ht="39" thickBot="1" x14ac:dyDescent="0.25">
      <c r="A83" s="966" t="s">
        <v>1813</v>
      </c>
      <c r="B83" s="954" t="s">
        <v>2033</v>
      </c>
      <c r="C83" s="952" t="s">
        <v>2045</v>
      </c>
      <c r="D83" s="961" t="s">
        <v>2046</v>
      </c>
      <c r="E83" s="962" t="s">
        <v>2047</v>
      </c>
      <c r="F83" s="963" t="s">
        <v>1622</v>
      </c>
      <c r="G83" s="963" t="s">
        <v>1622</v>
      </c>
      <c r="H83" s="964" t="s">
        <v>2048</v>
      </c>
      <c r="I83" s="964" t="s">
        <v>2484</v>
      </c>
      <c r="J83" s="964" t="s">
        <v>2484</v>
      </c>
      <c r="K83" s="964" t="s">
        <v>2484</v>
      </c>
      <c r="L83" s="964" t="s">
        <v>2484</v>
      </c>
      <c r="M83" s="964" t="s">
        <v>2484</v>
      </c>
      <c r="N83" s="964" t="s">
        <v>2487</v>
      </c>
      <c r="O83" s="964" t="s">
        <v>2484</v>
      </c>
      <c r="P83" s="964" t="s">
        <v>2484</v>
      </c>
      <c r="Q83" s="964" t="s">
        <v>2487</v>
      </c>
      <c r="R83" s="964" t="s">
        <v>2484</v>
      </c>
    </row>
    <row r="84" spans="1:18" ht="64.5" thickBot="1" x14ac:dyDescent="0.25">
      <c r="A84" s="966" t="s">
        <v>1813</v>
      </c>
      <c r="B84" s="954" t="s">
        <v>2033</v>
      </c>
      <c r="C84" s="952" t="s">
        <v>2049</v>
      </c>
      <c r="D84" s="961" t="s">
        <v>2050</v>
      </c>
      <c r="E84" s="962" t="s">
        <v>2051</v>
      </c>
      <c r="F84" s="963" t="s">
        <v>1622</v>
      </c>
      <c r="G84" s="963" t="s">
        <v>1666</v>
      </c>
      <c r="H84" s="964" t="s">
        <v>1775</v>
      </c>
      <c r="I84" s="964" t="s">
        <v>2424</v>
      </c>
      <c r="J84" s="964" t="s">
        <v>2424</v>
      </c>
      <c r="K84" s="964" t="s">
        <v>2424</v>
      </c>
      <c r="L84" s="964" t="s">
        <v>2424</v>
      </c>
      <c r="M84" s="964" t="s">
        <v>2424</v>
      </c>
      <c r="N84" s="964" t="s">
        <v>2485</v>
      </c>
      <c r="O84" s="964" t="s">
        <v>2424</v>
      </c>
      <c r="P84" s="964" t="s">
        <v>2424</v>
      </c>
      <c r="Q84" s="964" t="s">
        <v>2424</v>
      </c>
      <c r="R84" s="964" t="s">
        <v>2424</v>
      </c>
    </row>
    <row r="85" spans="1:18" ht="64.5" thickBot="1" x14ac:dyDescent="0.25">
      <c r="A85" s="966" t="s">
        <v>1813</v>
      </c>
      <c r="B85" s="954" t="s">
        <v>2033</v>
      </c>
      <c r="C85" s="952" t="s">
        <v>2052</v>
      </c>
      <c r="D85" s="961" t="s">
        <v>2053</v>
      </c>
      <c r="E85" s="962" t="s">
        <v>2054</v>
      </c>
      <c r="F85" s="963" t="s">
        <v>1622</v>
      </c>
      <c r="G85" s="963" t="s">
        <v>1666</v>
      </c>
      <c r="H85" s="964" t="s">
        <v>1775</v>
      </c>
      <c r="I85" s="964" t="s">
        <v>2424</v>
      </c>
      <c r="J85" s="964" t="s">
        <v>2424</v>
      </c>
      <c r="K85" s="964" t="s">
        <v>2424</v>
      </c>
      <c r="L85" s="964" t="s">
        <v>2424</v>
      </c>
      <c r="M85" s="964" t="s">
        <v>2424</v>
      </c>
      <c r="N85" s="964" t="s">
        <v>2495</v>
      </c>
      <c r="O85" s="964" t="s">
        <v>2424</v>
      </c>
      <c r="P85" s="964" t="s">
        <v>2424</v>
      </c>
      <c r="Q85" s="964" t="s">
        <v>2424</v>
      </c>
      <c r="R85" s="964" t="s">
        <v>2424</v>
      </c>
    </row>
    <row r="86" spans="1:18" ht="77.25" thickBot="1" x14ac:dyDescent="0.25">
      <c r="A86" s="966" t="s">
        <v>1813</v>
      </c>
      <c r="B86" s="954" t="s">
        <v>2033</v>
      </c>
      <c r="C86" s="952" t="s">
        <v>2055</v>
      </c>
      <c r="D86" s="961" t="s">
        <v>2056</v>
      </c>
      <c r="E86" s="962" t="s">
        <v>2057</v>
      </c>
      <c r="F86" s="963" t="s">
        <v>1622</v>
      </c>
      <c r="G86" s="963" t="s">
        <v>1666</v>
      </c>
      <c r="H86" s="964" t="s">
        <v>2001</v>
      </c>
      <c r="I86" s="964" t="s">
        <v>2424</v>
      </c>
      <c r="J86" s="964" t="s">
        <v>2424</v>
      </c>
      <c r="K86" s="964" t="s">
        <v>2424</v>
      </c>
      <c r="L86" s="964" t="s">
        <v>2424</v>
      </c>
      <c r="M86" s="964" t="s">
        <v>2424</v>
      </c>
      <c r="N86" s="964" t="s">
        <v>2494</v>
      </c>
      <c r="O86" s="964" t="s">
        <v>2424</v>
      </c>
      <c r="P86" s="964" t="s">
        <v>2424</v>
      </c>
      <c r="Q86" s="964" t="s">
        <v>2424</v>
      </c>
      <c r="R86" s="964" t="s">
        <v>2424</v>
      </c>
    </row>
    <row r="87" spans="1:18" ht="77.25" thickBot="1" x14ac:dyDescent="0.25">
      <c r="A87" s="966" t="s">
        <v>1813</v>
      </c>
      <c r="B87" s="954" t="s">
        <v>2033</v>
      </c>
      <c r="C87" s="952" t="s">
        <v>2058</v>
      </c>
      <c r="D87" s="961" t="s">
        <v>2059</v>
      </c>
      <c r="E87" s="962" t="s">
        <v>2060</v>
      </c>
      <c r="F87" s="963" t="s">
        <v>1622</v>
      </c>
      <c r="G87" s="963" t="s">
        <v>1666</v>
      </c>
      <c r="H87" s="964" t="s">
        <v>1631</v>
      </c>
      <c r="I87" s="964" t="s">
        <v>2424</v>
      </c>
      <c r="J87" s="964" t="s">
        <v>2424</v>
      </c>
      <c r="K87" s="964" t="s">
        <v>2424</v>
      </c>
      <c r="L87" s="964" t="s">
        <v>2424</v>
      </c>
      <c r="M87" s="964" t="s">
        <v>2424</v>
      </c>
      <c r="N87" s="964" t="s">
        <v>2493</v>
      </c>
      <c r="O87" s="964" t="s">
        <v>2424</v>
      </c>
      <c r="P87" s="964" t="s">
        <v>2424</v>
      </c>
      <c r="Q87" s="964" t="s">
        <v>2424</v>
      </c>
      <c r="R87" s="964" t="s">
        <v>2424</v>
      </c>
    </row>
    <row r="88" spans="1:18" ht="39" thickBot="1" x14ac:dyDescent="0.25">
      <c r="A88" s="966" t="s">
        <v>1813</v>
      </c>
      <c r="B88" s="954" t="s">
        <v>2061</v>
      </c>
      <c r="C88" s="955" t="s">
        <v>2062</v>
      </c>
      <c r="D88" s="956"/>
      <c r="E88" s="957"/>
      <c r="F88" s="968" t="s">
        <v>657</v>
      </c>
      <c r="G88" s="958" t="s">
        <v>657</v>
      </c>
      <c r="H88" s="959"/>
      <c r="I88" s="960"/>
    </row>
    <row r="89" spans="1:18" ht="39" thickBot="1" x14ac:dyDescent="0.25">
      <c r="A89" s="966" t="s">
        <v>1813</v>
      </c>
      <c r="B89" s="954" t="s">
        <v>2061</v>
      </c>
      <c r="C89" s="952" t="s">
        <v>2063</v>
      </c>
      <c r="D89" s="961" t="s">
        <v>1620</v>
      </c>
      <c r="E89" s="962" t="s">
        <v>1888</v>
      </c>
      <c r="F89" s="963" t="s">
        <v>1622</v>
      </c>
      <c r="G89" s="963" t="s">
        <v>1622</v>
      </c>
      <c r="H89" s="964" t="s">
        <v>1623</v>
      </c>
      <c r="I89" s="971" t="str">
        <f>I3</f>
        <v>969500Z05GRNU3KPEY94</v>
      </c>
    </row>
    <row r="90" spans="1:18" ht="39" thickBot="1" x14ac:dyDescent="0.25">
      <c r="A90" s="966" t="s">
        <v>1813</v>
      </c>
      <c r="B90" s="954" t="s">
        <v>2061</v>
      </c>
      <c r="C90" s="952" t="s">
        <v>2064</v>
      </c>
      <c r="D90" s="961" t="s">
        <v>2065</v>
      </c>
      <c r="E90" s="962" t="s">
        <v>2066</v>
      </c>
      <c r="F90" s="963" t="s">
        <v>1622</v>
      </c>
      <c r="G90" s="963" t="s">
        <v>1666</v>
      </c>
      <c r="H90" s="964" t="s">
        <v>1627</v>
      </c>
      <c r="I90" s="964" t="s">
        <v>2424</v>
      </c>
    </row>
    <row r="91" spans="1:18" ht="64.5" thickBot="1" x14ac:dyDescent="0.25">
      <c r="A91" s="966" t="s">
        <v>1813</v>
      </c>
      <c r="B91" s="954" t="s">
        <v>2061</v>
      </c>
      <c r="C91" s="952" t="s">
        <v>2067</v>
      </c>
      <c r="D91" s="961" t="s">
        <v>2068</v>
      </c>
      <c r="E91" s="962" t="s">
        <v>2069</v>
      </c>
      <c r="F91" s="963" t="s">
        <v>1622</v>
      </c>
      <c r="G91" s="963" t="s">
        <v>1666</v>
      </c>
      <c r="H91" s="964" t="s">
        <v>1649</v>
      </c>
      <c r="I91" s="964" t="s">
        <v>2447</v>
      </c>
    </row>
    <row r="92" spans="1:18" ht="90" thickBot="1" x14ac:dyDescent="0.25">
      <c r="A92" s="966" t="s">
        <v>1813</v>
      </c>
      <c r="B92" s="954" t="s">
        <v>2061</v>
      </c>
      <c r="C92" s="952" t="s">
        <v>2070</v>
      </c>
      <c r="D92" s="961" t="s">
        <v>2071</v>
      </c>
      <c r="E92" s="962" t="s">
        <v>2072</v>
      </c>
      <c r="F92" s="963" t="s">
        <v>1622</v>
      </c>
      <c r="G92" s="963" t="s">
        <v>1622</v>
      </c>
      <c r="H92" s="964" t="s">
        <v>1649</v>
      </c>
      <c r="I92" s="964" t="s">
        <v>883</v>
      </c>
    </row>
    <row r="93" spans="1:18" ht="39" thickBot="1" x14ac:dyDescent="0.25">
      <c r="A93" s="966" t="s">
        <v>1813</v>
      </c>
      <c r="B93" s="954" t="s">
        <v>2061</v>
      </c>
      <c r="C93" s="952" t="s">
        <v>2073</v>
      </c>
      <c r="D93" s="961" t="s">
        <v>2074</v>
      </c>
      <c r="E93" s="962" t="s">
        <v>2075</v>
      </c>
      <c r="F93" s="963" t="s">
        <v>1622</v>
      </c>
      <c r="G93" s="963" t="s">
        <v>1666</v>
      </c>
      <c r="H93" s="964" t="s">
        <v>1627</v>
      </c>
      <c r="I93" s="964" t="s">
        <v>2424</v>
      </c>
    </row>
    <row r="94" spans="1:18" ht="39" thickBot="1" x14ac:dyDescent="0.25">
      <c r="A94" s="966" t="s">
        <v>1813</v>
      </c>
      <c r="B94" s="954" t="s">
        <v>2061</v>
      </c>
      <c r="C94" s="952" t="s">
        <v>2076</v>
      </c>
      <c r="D94" s="961" t="s">
        <v>2077</v>
      </c>
      <c r="E94" s="962" t="s">
        <v>2078</v>
      </c>
      <c r="F94" s="963" t="s">
        <v>1622</v>
      </c>
      <c r="G94" s="963" t="s">
        <v>1666</v>
      </c>
      <c r="H94" s="964" t="s">
        <v>1627</v>
      </c>
      <c r="I94" s="964" t="s">
        <v>2424</v>
      </c>
    </row>
    <row r="95" spans="1:18" ht="51.75" thickBot="1" x14ac:dyDescent="0.25">
      <c r="A95" s="966" t="s">
        <v>1813</v>
      </c>
      <c r="B95" s="954" t="s">
        <v>2061</v>
      </c>
      <c r="C95" s="952" t="s">
        <v>2079</v>
      </c>
      <c r="D95" s="961" t="s">
        <v>2080</v>
      </c>
      <c r="E95" s="962" t="s">
        <v>2081</v>
      </c>
      <c r="F95" s="963" t="s">
        <v>1622</v>
      </c>
      <c r="G95" s="963" t="s">
        <v>1666</v>
      </c>
      <c r="H95" s="964" t="s">
        <v>1692</v>
      </c>
      <c r="I95" s="964" t="s">
        <v>2424</v>
      </c>
    </row>
    <row r="96" spans="1:18" ht="39" thickBot="1" x14ac:dyDescent="0.25">
      <c r="A96" s="966" t="s">
        <v>1813</v>
      </c>
      <c r="B96" s="954" t="s">
        <v>2061</v>
      </c>
      <c r="C96" s="952" t="s">
        <v>2082</v>
      </c>
      <c r="D96" s="961" t="s">
        <v>2083</v>
      </c>
      <c r="E96" s="962" t="s">
        <v>2084</v>
      </c>
      <c r="F96" s="963" t="s">
        <v>1622</v>
      </c>
      <c r="G96" s="963" t="s">
        <v>1666</v>
      </c>
      <c r="H96" s="964" t="s">
        <v>1692</v>
      </c>
      <c r="I96" s="964" t="s">
        <v>2424</v>
      </c>
    </row>
    <row r="97" spans="1:9" ht="39" thickBot="1" x14ac:dyDescent="0.25">
      <c r="A97" s="966" t="s">
        <v>1813</v>
      </c>
      <c r="B97" s="954" t="s">
        <v>2061</v>
      </c>
      <c r="C97" s="952" t="s">
        <v>2085</v>
      </c>
      <c r="D97" s="961" t="s">
        <v>2086</v>
      </c>
      <c r="E97" s="962" t="s">
        <v>2087</v>
      </c>
      <c r="F97" s="963" t="s">
        <v>1622</v>
      </c>
      <c r="G97" s="963" t="s">
        <v>1666</v>
      </c>
      <c r="H97" s="964" t="s">
        <v>1692</v>
      </c>
      <c r="I97" s="964" t="s">
        <v>2424</v>
      </c>
    </row>
    <row r="98" spans="1:9" ht="39" thickBot="1" x14ac:dyDescent="0.25">
      <c r="A98" s="966" t="s">
        <v>1813</v>
      </c>
      <c r="B98" s="954" t="s">
        <v>2061</v>
      </c>
      <c r="C98" s="952" t="s">
        <v>2088</v>
      </c>
      <c r="D98" s="961" t="s">
        <v>2089</v>
      </c>
      <c r="E98" s="962" t="s">
        <v>2090</v>
      </c>
      <c r="F98" s="963" t="s">
        <v>1622</v>
      </c>
      <c r="G98" s="963" t="s">
        <v>1666</v>
      </c>
      <c r="H98" s="964" t="s">
        <v>1692</v>
      </c>
      <c r="I98" s="964" t="s">
        <v>2424</v>
      </c>
    </row>
    <row r="99" spans="1:9" ht="39" thickBot="1" x14ac:dyDescent="0.25">
      <c r="A99" s="966" t="s">
        <v>1813</v>
      </c>
      <c r="B99" s="954" t="s">
        <v>2061</v>
      </c>
      <c r="C99" s="952" t="s">
        <v>2091</v>
      </c>
      <c r="D99" s="961" t="s">
        <v>2092</v>
      </c>
      <c r="E99" s="962" t="s">
        <v>2093</v>
      </c>
      <c r="F99" s="963" t="s">
        <v>1622</v>
      </c>
      <c r="G99" s="963" t="s">
        <v>1666</v>
      </c>
      <c r="H99" s="964" t="s">
        <v>1692</v>
      </c>
      <c r="I99" s="964" t="s">
        <v>2424</v>
      </c>
    </row>
    <row r="100" spans="1:9" ht="39" thickBot="1" x14ac:dyDescent="0.25">
      <c r="A100" s="966" t="s">
        <v>1813</v>
      </c>
      <c r="B100" s="954" t="s">
        <v>2061</v>
      </c>
      <c r="C100" s="952" t="s">
        <v>2094</v>
      </c>
      <c r="D100" s="961" t="s">
        <v>2095</v>
      </c>
      <c r="E100" s="962" t="s">
        <v>2096</v>
      </c>
      <c r="F100" s="963" t="s">
        <v>1622</v>
      </c>
      <c r="G100" s="963" t="s">
        <v>1666</v>
      </c>
      <c r="H100" s="964" t="s">
        <v>1692</v>
      </c>
      <c r="I100" s="964" t="s">
        <v>2424</v>
      </c>
    </row>
    <row r="101" spans="1:9" ht="39" thickBot="1" x14ac:dyDescent="0.25">
      <c r="A101" s="966" t="s">
        <v>1813</v>
      </c>
      <c r="B101" s="954" t="s">
        <v>2061</v>
      </c>
      <c r="C101" s="952" t="s">
        <v>2097</v>
      </c>
      <c r="D101" s="961" t="s">
        <v>2098</v>
      </c>
      <c r="E101" s="962" t="s">
        <v>2099</v>
      </c>
      <c r="F101" s="963" t="s">
        <v>1622</v>
      </c>
      <c r="G101" s="963" t="s">
        <v>1666</v>
      </c>
      <c r="H101" s="964" t="s">
        <v>1692</v>
      </c>
      <c r="I101" s="964" t="s">
        <v>2424</v>
      </c>
    </row>
    <row r="102" spans="1:9" ht="39" thickBot="1" x14ac:dyDescent="0.25">
      <c r="A102" s="966" t="s">
        <v>1813</v>
      </c>
      <c r="B102" s="954" t="s">
        <v>2061</v>
      </c>
      <c r="C102" s="952" t="s">
        <v>2100</v>
      </c>
      <c r="D102" s="961" t="s">
        <v>2101</v>
      </c>
      <c r="E102" s="962" t="s">
        <v>2102</v>
      </c>
      <c r="F102" s="963" t="s">
        <v>1622</v>
      </c>
      <c r="G102" s="963" t="s">
        <v>1666</v>
      </c>
      <c r="H102" s="964" t="s">
        <v>1692</v>
      </c>
      <c r="I102" s="964" t="s">
        <v>2424</v>
      </c>
    </row>
    <row r="103" spans="1:9" ht="39" thickBot="1" x14ac:dyDescent="0.25">
      <c r="A103" s="966" t="s">
        <v>1813</v>
      </c>
      <c r="B103" s="954" t="s">
        <v>2061</v>
      </c>
      <c r="C103" s="952" t="s">
        <v>2103</v>
      </c>
      <c r="D103" s="961" t="s">
        <v>2104</v>
      </c>
      <c r="E103" s="962" t="s">
        <v>2105</v>
      </c>
      <c r="F103" s="963" t="s">
        <v>1622</v>
      </c>
      <c r="G103" s="963" t="s">
        <v>1666</v>
      </c>
      <c r="H103" s="964" t="s">
        <v>1692</v>
      </c>
      <c r="I103" s="964" t="s">
        <v>2424</v>
      </c>
    </row>
    <row r="104" spans="1:9" ht="39" thickBot="1" x14ac:dyDescent="0.25">
      <c r="A104" s="966" t="s">
        <v>1813</v>
      </c>
      <c r="B104" s="954" t="s">
        <v>2061</v>
      </c>
      <c r="C104" s="952" t="s">
        <v>2106</v>
      </c>
      <c r="D104" s="961" t="s">
        <v>2107</v>
      </c>
      <c r="E104" s="962" t="s">
        <v>2108</v>
      </c>
      <c r="F104" s="963" t="s">
        <v>1622</v>
      </c>
      <c r="G104" s="963" t="s">
        <v>1622</v>
      </c>
      <c r="H104" s="964" t="s">
        <v>1670</v>
      </c>
      <c r="I104" s="964" t="s">
        <v>2483</v>
      </c>
    </row>
    <row r="105" spans="1:9" ht="39" thickBot="1" x14ac:dyDescent="0.25">
      <c r="A105" s="966" t="s">
        <v>1813</v>
      </c>
      <c r="B105" s="954" t="s">
        <v>2061</v>
      </c>
      <c r="C105" s="952" t="s">
        <v>2109</v>
      </c>
      <c r="D105" s="961" t="s">
        <v>2110</v>
      </c>
      <c r="E105" s="962" t="s">
        <v>2111</v>
      </c>
      <c r="F105" s="963" t="s">
        <v>1622</v>
      </c>
      <c r="G105" s="963" t="s">
        <v>1622</v>
      </c>
      <c r="H105" s="964" t="s">
        <v>1670</v>
      </c>
      <c r="I105" s="964" t="s">
        <v>2483</v>
      </c>
    </row>
    <row r="106" spans="1:9" ht="39" thickBot="1" x14ac:dyDescent="0.25">
      <c r="A106" s="966" t="s">
        <v>1813</v>
      </c>
      <c r="B106" s="954" t="s">
        <v>2061</v>
      </c>
      <c r="C106" s="952" t="s">
        <v>2112</v>
      </c>
      <c r="D106" s="961" t="s">
        <v>2113</v>
      </c>
      <c r="E106" s="962" t="s">
        <v>2114</v>
      </c>
      <c r="F106" s="963" t="s">
        <v>1622</v>
      </c>
      <c r="G106" s="963" t="s">
        <v>1622</v>
      </c>
      <c r="H106" s="964" t="s">
        <v>1659</v>
      </c>
      <c r="I106" s="964" t="s">
        <v>2423</v>
      </c>
    </row>
    <row r="107" spans="1:9" ht="39" thickBot="1" x14ac:dyDescent="0.25">
      <c r="A107" s="966" t="s">
        <v>1813</v>
      </c>
      <c r="B107" s="954" t="s">
        <v>2061</v>
      </c>
      <c r="C107" s="952" t="s">
        <v>2115</v>
      </c>
      <c r="D107" s="961" t="s">
        <v>2116</v>
      </c>
      <c r="E107" s="962" t="s">
        <v>2117</v>
      </c>
      <c r="F107" s="963" t="s">
        <v>1622</v>
      </c>
      <c r="G107" s="963" t="s">
        <v>1622</v>
      </c>
      <c r="H107" s="964" t="s">
        <v>1659</v>
      </c>
      <c r="I107" s="964" t="s">
        <v>2423</v>
      </c>
    </row>
    <row r="108" spans="1:9" ht="39" thickBot="1" x14ac:dyDescent="0.25">
      <c r="A108" s="966" t="s">
        <v>1813</v>
      </c>
      <c r="B108" s="954" t="s">
        <v>2061</v>
      </c>
      <c r="C108" s="952" t="s">
        <v>2118</v>
      </c>
      <c r="D108" s="961" t="s">
        <v>2119</v>
      </c>
      <c r="E108" s="962" t="s">
        <v>2120</v>
      </c>
      <c r="F108" s="963" t="s">
        <v>1622</v>
      </c>
      <c r="G108" s="963" t="s">
        <v>1622</v>
      </c>
      <c r="H108" s="964" t="s">
        <v>1659</v>
      </c>
      <c r="I108" s="964" t="s">
        <v>2423</v>
      </c>
    </row>
    <row r="109" spans="1:9" ht="39" thickBot="1" x14ac:dyDescent="0.25">
      <c r="A109" s="966" t="s">
        <v>1813</v>
      </c>
      <c r="B109" s="954" t="s">
        <v>2061</v>
      </c>
      <c r="C109" s="952" t="s">
        <v>2121</v>
      </c>
      <c r="D109" s="961" t="s">
        <v>2122</v>
      </c>
      <c r="E109" s="962" t="s">
        <v>2123</v>
      </c>
      <c r="F109" s="963" t="s">
        <v>1622</v>
      </c>
      <c r="G109" s="963" t="s">
        <v>1622</v>
      </c>
      <c r="H109" s="964" t="s">
        <v>1659</v>
      </c>
      <c r="I109" s="964" t="s">
        <v>2423</v>
      </c>
    </row>
    <row r="110" spans="1:9" ht="39" thickBot="1" x14ac:dyDescent="0.25">
      <c r="A110" s="966" t="s">
        <v>1813</v>
      </c>
      <c r="B110" s="954" t="s">
        <v>2061</v>
      </c>
      <c r="C110" s="952" t="s">
        <v>2124</v>
      </c>
      <c r="D110" s="961" t="s">
        <v>2125</v>
      </c>
      <c r="E110" s="962" t="s">
        <v>2126</v>
      </c>
      <c r="F110" s="963" t="s">
        <v>1622</v>
      </c>
      <c r="G110" s="963" t="s">
        <v>1622</v>
      </c>
      <c r="H110" s="964" t="s">
        <v>1659</v>
      </c>
      <c r="I110" s="964" t="s">
        <v>2422</v>
      </c>
    </row>
    <row r="111" spans="1:9" ht="39" thickBot="1" x14ac:dyDescent="0.25">
      <c r="A111" s="966" t="s">
        <v>1813</v>
      </c>
      <c r="B111" s="954" t="s">
        <v>2061</v>
      </c>
      <c r="C111" s="952" t="s">
        <v>2127</v>
      </c>
      <c r="D111" s="961" t="s">
        <v>2128</v>
      </c>
      <c r="E111" s="962" t="s">
        <v>2129</v>
      </c>
      <c r="F111" s="963" t="s">
        <v>1622</v>
      </c>
      <c r="G111" s="963" t="s">
        <v>1622</v>
      </c>
      <c r="H111" s="964" t="s">
        <v>1659</v>
      </c>
      <c r="I111" s="964" t="s">
        <v>2422</v>
      </c>
    </row>
    <row r="112" spans="1:9" ht="39" thickBot="1" x14ac:dyDescent="0.25">
      <c r="A112" s="966" t="s">
        <v>1813</v>
      </c>
      <c r="B112" s="954" t="s">
        <v>2061</v>
      </c>
      <c r="C112" s="952" t="s">
        <v>2130</v>
      </c>
      <c r="D112" s="961" t="s">
        <v>2131</v>
      </c>
      <c r="E112" s="962" t="s">
        <v>2132</v>
      </c>
      <c r="F112" s="963" t="s">
        <v>1622</v>
      </c>
      <c r="G112" s="963" t="s">
        <v>1622</v>
      </c>
      <c r="H112" s="964" t="s">
        <v>1659</v>
      </c>
      <c r="I112" s="964" t="s">
        <v>2423</v>
      </c>
    </row>
    <row r="113" spans="1:9" ht="39" thickBot="1" x14ac:dyDescent="0.25">
      <c r="A113" s="966" t="s">
        <v>1813</v>
      </c>
      <c r="B113" s="954" t="s">
        <v>2061</v>
      </c>
      <c r="C113" s="952" t="s">
        <v>2133</v>
      </c>
      <c r="D113" s="961" t="s">
        <v>2134</v>
      </c>
      <c r="E113" s="962" t="s">
        <v>2135</v>
      </c>
      <c r="F113" s="963" t="s">
        <v>1622</v>
      </c>
      <c r="G113" s="963" t="s">
        <v>1622</v>
      </c>
      <c r="H113" s="964" t="s">
        <v>1659</v>
      </c>
      <c r="I113" s="964" t="s">
        <v>2423</v>
      </c>
    </row>
    <row r="114" spans="1:9" ht="39" thickBot="1" x14ac:dyDescent="0.25">
      <c r="A114" s="966" t="s">
        <v>1813</v>
      </c>
      <c r="B114" s="954" t="s">
        <v>2061</v>
      </c>
      <c r="C114" s="952" t="s">
        <v>2136</v>
      </c>
      <c r="D114" s="961" t="s">
        <v>2137</v>
      </c>
      <c r="E114" s="962" t="s">
        <v>2138</v>
      </c>
      <c r="F114" s="963" t="s">
        <v>1622</v>
      </c>
      <c r="G114" s="963" t="s">
        <v>1666</v>
      </c>
      <c r="H114" s="964" t="s">
        <v>1789</v>
      </c>
      <c r="I114" s="964" t="s">
        <v>2424</v>
      </c>
    </row>
    <row r="115" spans="1:9" ht="39" thickBot="1" x14ac:dyDescent="0.25">
      <c r="A115" s="966" t="s">
        <v>1813</v>
      </c>
      <c r="B115" s="954" t="s">
        <v>2061</v>
      </c>
      <c r="C115" s="952" t="s">
        <v>2139</v>
      </c>
      <c r="D115" s="961" t="s">
        <v>2140</v>
      </c>
      <c r="E115" s="962" t="s">
        <v>2141</v>
      </c>
      <c r="F115" s="963" t="s">
        <v>1622</v>
      </c>
      <c r="G115" s="963" t="s">
        <v>1622</v>
      </c>
      <c r="H115" s="964" t="s">
        <v>1659</v>
      </c>
      <c r="I115" s="964" t="s">
        <v>2422</v>
      </c>
    </row>
    <row r="116" spans="1:9" ht="39" thickBot="1" x14ac:dyDescent="0.25">
      <c r="A116" s="966" t="s">
        <v>1813</v>
      </c>
      <c r="B116" s="954" t="s">
        <v>2142</v>
      </c>
      <c r="C116" s="955" t="s">
        <v>2143</v>
      </c>
      <c r="D116" s="956"/>
      <c r="E116" s="957"/>
      <c r="F116" s="958" t="s">
        <v>657</v>
      </c>
      <c r="G116" s="958" t="s">
        <v>657</v>
      </c>
      <c r="H116" s="959"/>
      <c r="I116" s="960"/>
    </row>
    <row r="117" spans="1:9" ht="39" thickBot="1" x14ac:dyDescent="0.25">
      <c r="A117" s="966" t="s">
        <v>1813</v>
      </c>
      <c r="B117" s="954" t="s">
        <v>2142</v>
      </c>
      <c r="C117" s="952" t="s">
        <v>2144</v>
      </c>
      <c r="D117" s="961" t="s">
        <v>1620</v>
      </c>
      <c r="E117" s="962" t="s">
        <v>1888</v>
      </c>
      <c r="F117" s="963" t="s">
        <v>1622</v>
      </c>
      <c r="G117" s="963" t="s">
        <v>1622</v>
      </c>
      <c r="H117" s="964" t="s">
        <v>1623</v>
      </c>
      <c r="I117" s="971" t="str">
        <f>I3</f>
        <v>969500Z05GRNU3KPEY94</v>
      </c>
    </row>
    <row r="118" spans="1:9" ht="39" thickBot="1" x14ac:dyDescent="0.25">
      <c r="A118" s="966" t="s">
        <v>1813</v>
      </c>
      <c r="B118" s="954" t="s">
        <v>2142</v>
      </c>
      <c r="C118" s="952" t="s">
        <v>2145</v>
      </c>
      <c r="D118" s="961" t="s">
        <v>2146</v>
      </c>
      <c r="E118" s="962" t="s">
        <v>2147</v>
      </c>
      <c r="F118" s="963" t="s">
        <v>1622</v>
      </c>
      <c r="G118" s="963" t="s">
        <v>1622</v>
      </c>
      <c r="H118" s="964" t="s">
        <v>2001</v>
      </c>
      <c r="I118" s="964" t="str">
        <f>I80</f>
        <v>969500CY9YKWDZW47Y85</v>
      </c>
    </row>
    <row r="119" spans="1:9" ht="39" thickBot="1" x14ac:dyDescent="0.25">
      <c r="A119" s="966" t="s">
        <v>1813</v>
      </c>
      <c r="B119" s="954" t="s">
        <v>2142</v>
      </c>
      <c r="C119" s="952" t="s">
        <v>2148</v>
      </c>
      <c r="D119" s="961" t="s">
        <v>2149</v>
      </c>
      <c r="E119" s="962" t="s">
        <v>2150</v>
      </c>
      <c r="F119" s="963" t="s">
        <v>1622</v>
      </c>
      <c r="G119" s="963" t="s">
        <v>1622</v>
      </c>
      <c r="H119" s="964" t="s">
        <v>1768</v>
      </c>
      <c r="I119" s="964" t="str">
        <f>I82</f>
        <v>MNGR</v>
      </c>
    </row>
    <row r="120" spans="1:9" ht="39" thickBot="1" x14ac:dyDescent="0.25">
      <c r="A120" s="966" t="s">
        <v>1813</v>
      </c>
      <c r="B120" s="954" t="s">
        <v>2142</v>
      </c>
      <c r="C120" s="952" t="s">
        <v>2151</v>
      </c>
      <c r="D120" s="961" t="s">
        <v>131</v>
      </c>
      <c r="E120" s="962" t="s">
        <v>2152</v>
      </c>
      <c r="F120" s="963" t="s">
        <v>1622</v>
      </c>
      <c r="G120" s="963" t="s">
        <v>1666</v>
      </c>
      <c r="H120" s="964" t="s">
        <v>1627</v>
      </c>
      <c r="I120" s="964" t="s">
        <v>2424</v>
      </c>
    </row>
    <row r="121" spans="1:9" ht="39" thickBot="1" x14ac:dyDescent="0.25">
      <c r="A121" s="966" t="s">
        <v>1813</v>
      </c>
      <c r="B121" s="954" t="s">
        <v>2142</v>
      </c>
      <c r="C121" s="952" t="s">
        <v>2153</v>
      </c>
      <c r="D121" s="961" t="s">
        <v>2154</v>
      </c>
      <c r="E121" s="962" t="s">
        <v>2155</v>
      </c>
      <c r="F121" s="963" t="s">
        <v>1622</v>
      </c>
      <c r="G121" s="963" t="s">
        <v>1666</v>
      </c>
      <c r="H121" s="964" t="s">
        <v>1627</v>
      </c>
      <c r="I121" s="964" t="s">
        <v>2424</v>
      </c>
    </row>
    <row r="122" spans="1:9" ht="39" thickBot="1" x14ac:dyDescent="0.25">
      <c r="A122" s="966" t="s">
        <v>1813</v>
      </c>
      <c r="B122" s="954" t="s">
        <v>2142</v>
      </c>
      <c r="C122" s="952" t="s">
        <v>2156</v>
      </c>
      <c r="D122" s="961" t="s">
        <v>2157</v>
      </c>
      <c r="E122" s="962" t="s">
        <v>2158</v>
      </c>
      <c r="F122" s="963" t="s">
        <v>1622</v>
      </c>
      <c r="G122" s="963" t="s">
        <v>1622</v>
      </c>
      <c r="H122" s="964" t="s">
        <v>1789</v>
      </c>
      <c r="I122" s="964">
        <v>0</v>
      </c>
    </row>
    <row r="123" spans="1:9" ht="39" thickBot="1" x14ac:dyDescent="0.25">
      <c r="A123" s="966" t="s">
        <v>1813</v>
      </c>
      <c r="B123" s="954" t="s">
        <v>2142</v>
      </c>
      <c r="C123" s="952" t="s">
        <v>2159</v>
      </c>
      <c r="D123" s="961" t="s">
        <v>2160</v>
      </c>
      <c r="E123" s="962" t="s">
        <v>2161</v>
      </c>
      <c r="F123" s="963" t="s">
        <v>1622</v>
      </c>
      <c r="G123" s="963" t="s">
        <v>1622</v>
      </c>
      <c r="H123" s="964" t="s">
        <v>1789</v>
      </c>
      <c r="I123" s="964">
        <v>0</v>
      </c>
    </row>
    <row r="124" spans="1:9" ht="39" thickBot="1" x14ac:dyDescent="0.25">
      <c r="A124" s="966" t="s">
        <v>1813</v>
      </c>
      <c r="B124" s="954" t="s">
        <v>2142</v>
      </c>
      <c r="C124" s="952" t="s">
        <v>2162</v>
      </c>
      <c r="D124" s="961" t="s">
        <v>2163</v>
      </c>
      <c r="E124" s="962" t="s">
        <v>2164</v>
      </c>
      <c r="F124" s="963" t="s">
        <v>1622</v>
      </c>
      <c r="G124" s="963" t="s">
        <v>1622</v>
      </c>
      <c r="H124" s="964" t="s">
        <v>1789</v>
      </c>
      <c r="I124" s="964">
        <v>0</v>
      </c>
    </row>
    <row r="125" spans="1:9" ht="39" thickBot="1" x14ac:dyDescent="0.25">
      <c r="A125" s="966" t="s">
        <v>1813</v>
      </c>
      <c r="B125" s="954" t="s">
        <v>2142</v>
      </c>
      <c r="C125" s="952" t="s">
        <v>2165</v>
      </c>
      <c r="D125" s="961" t="s">
        <v>2166</v>
      </c>
      <c r="E125" s="962" t="s">
        <v>2167</v>
      </c>
      <c r="F125" s="963" t="s">
        <v>1622</v>
      </c>
      <c r="G125" s="963" t="s">
        <v>1622</v>
      </c>
      <c r="H125" s="964" t="s">
        <v>1670</v>
      </c>
      <c r="I125" s="964" t="s">
        <v>2483</v>
      </c>
    </row>
    <row r="126" spans="1:9" ht="39" thickBot="1" x14ac:dyDescent="0.25">
      <c r="A126" s="966" t="s">
        <v>1813</v>
      </c>
      <c r="B126" s="954" t="s">
        <v>2142</v>
      </c>
      <c r="C126" s="952" t="s">
        <v>2168</v>
      </c>
      <c r="D126" s="961" t="s">
        <v>2169</v>
      </c>
      <c r="E126" s="962" t="s">
        <v>2170</v>
      </c>
      <c r="F126" s="963" t="s">
        <v>1622</v>
      </c>
      <c r="G126" s="963" t="s">
        <v>1622</v>
      </c>
      <c r="H126" s="964" t="s">
        <v>1670</v>
      </c>
      <c r="I126" s="964" t="s">
        <v>2483</v>
      </c>
    </row>
    <row r="127" spans="1:9" ht="39" thickBot="1" x14ac:dyDescent="0.25">
      <c r="A127" s="966" t="s">
        <v>1813</v>
      </c>
      <c r="B127" s="954" t="s">
        <v>2142</v>
      </c>
      <c r="C127" s="952" t="s">
        <v>2171</v>
      </c>
      <c r="D127" s="961" t="s">
        <v>2172</v>
      </c>
      <c r="E127" s="962" t="s">
        <v>2173</v>
      </c>
      <c r="F127" s="963" t="s">
        <v>1622</v>
      </c>
      <c r="G127" s="963" t="s">
        <v>1622</v>
      </c>
      <c r="H127" s="964" t="s">
        <v>1670</v>
      </c>
      <c r="I127" s="964">
        <v>0</v>
      </c>
    </row>
    <row r="128" spans="1:9" ht="39" thickBot="1" x14ac:dyDescent="0.25">
      <c r="A128" s="966" t="s">
        <v>1813</v>
      </c>
      <c r="B128" s="954" t="s">
        <v>2142</v>
      </c>
      <c r="C128" s="952" t="s">
        <v>2174</v>
      </c>
      <c r="D128" s="961" t="s">
        <v>2175</v>
      </c>
      <c r="E128" s="962" t="s">
        <v>2176</v>
      </c>
      <c r="F128" s="963" t="s">
        <v>1622</v>
      </c>
      <c r="G128" s="963" t="s">
        <v>1622</v>
      </c>
      <c r="H128" s="964" t="s">
        <v>1670</v>
      </c>
      <c r="I128" s="964">
        <v>0</v>
      </c>
    </row>
    <row r="129" spans="1:9" ht="39" thickBot="1" x14ac:dyDescent="0.25">
      <c r="A129" s="966" t="s">
        <v>1813</v>
      </c>
      <c r="B129" s="954" t="s">
        <v>2142</v>
      </c>
      <c r="C129" s="952" t="s">
        <v>2177</v>
      </c>
      <c r="D129" s="961" t="s">
        <v>2178</v>
      </c>
      <c r="E129" s="962" t="s">
        <v>2179</v>
      </c>
      <c r="F129" s="963" t="s">
        <v>1622</v>
      </c>
      <c r="G129" s="963" t="s">
        <v>1622</v>
      </c>
      <c r="H129" s="964" t="s">
        <v>1670</v>
      </c>
      <c r="I129" s="964">
        <v>0</v>
      </c>
    </row>
    <row r="130" spans="1:9" ht="39" thickBot="1" x14ac:dyDescent="0.25">
      <c r="A130" s="966" t="s">
        <v>1813</v>
      </c>
      <c r="B130" s="954" t="s">
        <v>2142</v>
      </c>
      <c r="C130" s="952" t="s">
        <v>2180</v>
      </c>
      <c r="D130" s="961" t="s">
        <v>2181</v>
      </c>
      <c r="E130" s="962" t="s">
        <v>2182</v>
      </c>
      <c r="F130" s="963" t="s">
        <v>1622</v>
      </c>
      <c r="G130" s="963" t="s">
        <v>1622</v>
      </c>
      <c r="H130" s="964" t="s">
        <v>1789</v>
      </c>
      <c r="I130" s="964">
        <v>0</v>
      </c>
    </row>
    <row r="131" spans="1:9" ht="39" thickBot="1" x14ac:dyDescent="0.25">
      <c r="A131" s="966" t="s">
        <v>1813</v>
      </c>
      <c r="B131" s="954" t="s">
        <v>2142</v>
      </c>
      <c r="C131" s="952" t="s">
        <v>2183</v>
      </c>
      <c r="D131" s="961" t="s">
        <v>2184</v>
      </c>
      <c r="E131" s="962" t="s">
        <v>2185</v>
      </c>
      <c r="F131" s="963" t="s">
        <v>1622</v>
      </c>
      <c r="G131" s="963" t="s">
        <v>1622</v>
      </c>
      <c r="H131" s="964" t="s">
        <v>1670</v>
      </c>
      <c r="I131" s="964" t="s">
        <v>2483</v>
      </c>
    </row>
    <row r="132" spans="1:9" ht="39" thickBot="1" x14ac:dyDescent="0.25">
      <c r="A132" s="966" t="s">
        <v>1813</v>
      </c>
      <c r="B132" s="954" t="s">
        <v>2142</v>
      </c>
      <c r="C132" s="952" t="s">
        <v>2186</v>
      </c>
      <c r="D132" s="961" t="s">
        <v>2187</v>
      </c>
      <c r="E132" s="962" t="s">
        <v>2188</v>
      </c>
      <c r="F132" s="963" t="s">
        <v>1622</v>
      </c>
      <c r="G132" s="963" t="s">
        <v>1622</v>
      </c>
      <c r="H132" s="964" t="s">
        <v>1670</v>
      </c>
      <c r="I132" s="964" t="s">
        <v>2483</v>
      </c>
    </row>
    <row r="133" spans="1:9" ht="39" thickBot="1" x14ac:dyDescent="0.25">
      <c r="A133" s="966" t="s">
        <v>1813</v>
      </c>
      <c r="B133" s="954" t="s">
        <v>2142</v>
      </c>
      <c r="C133" s="952" t="s">
        <v>2189</v>
      </c>
      <c r="D133" s="961" t="s">
        <v>2190</v>
      </c>
      <c r="E133" s="962" t="s">
        <v>2191</v>
      </c>
      <c r="F133" s="963" t="s">
        <v>1622</v>
      </c>
      <c r="G133" s="963" t="s">
        <v>1622</v>
      </c>
      <c r="H133" s="964" t="s">
        <v>1789</v>
      </c>
      <c r="I133" s="964">
        <v>0</v>
      </c>
    </row>
    <row r="134" spans="1:9" ht="39" thickBot="1" x14ac:dyDescent="0.25">
      <c r="A134" s="966" t="s">
        <v>1813</v>
      </c>
      <c r="B134" s="954" t="s">
        <v>2142</v>
      </c>
      <c r="C134" s="952" t="s">
        <v>2192</v>
      </c>
      <c r="D134" s="961" t="s">
        <v>2193</v>
      </c>
      <c r="E134" s="962" t="s">
        <v>2194</v>
      </c>
      <c r="F134" s="963" t="s">
        <v>1622</v>
      </c>
      <c r="G134" s="963" t="s">
        <v>1622</v>
      </c>
      <c r="H134" s="964" t="s">
        <v>1789</v>
      </c>
      <c r="I134" s="964">
        <v>0</v>
      </c>
    </row>
    <row r="135" spans="1:9" ht="39" thickBot="1" x14ac:dyDescent="0.25">
      <c r="A135" s="966" t="s">
        <v>1813</v>
      </c>
      <c r="B135" s="954" t="s">
        <v>2142</v>
      </c>
      <c r="C135" s="952" t="s">
        <v>2195</v>
      </c>
      <c r="D135" s="961" t="s">
        <v>2196</v>
      </c>
      <c r="E135" s="962" t="s">
        <v>2197</v>
      </c>
      <c r="F135" s="963" t="s">
        <v>1622</v>
      </c>
      <c r="G135" s="963" t="s">
        <v>1622</v>
      </c>
      <c r="H135" s="964" t="s">
        <v>1692</v>
      </c>
      <c r="I135" s="989">
        <v>0</v>
      </c>
    </row>
    <row r="136" spans="1:9" ht="39" thickBot="1" x14ac:dyDescent="0.25">
      <c r="A136" s="966" t="s">
        <v>1813</v>
      </c>
      <c r="B136" s="954" t="s">
        <v>2142</v>
      </c>
      <c r="C136" s="952" t="s">
        <v>2198</v>
      </c>
      <c r="D136" s="961" t="s">
        <v>2199</v>
      </c>
      <c r="E136" s="962" t="s">
        <v>2200</v>
      </c>
      <c r="F136" s="963" t="s">
        <v>1622</v>
      </c>
      <c r="G136" s="963" t="s">
        <v>1622</v>
      </c>
      <c r="H136" s="964" t="s">
        <v>1692</v>
      </c>
      <c r="I136" s="989">
        <v>0</v>
      </c>
    </row>
    <row r="137" spans="1:9" ht="39" thickBot="1" x14ac:dyDescent="0.25">
      <c r="A137" s="966" t="s">
        <v>1813</v>
      </c>
      <c r="B137" s="954" t="s">
        <v>2142</v>
      </c>
      <c r="C137" s="952" t="s">
        <v>2201</v>
      </c>
      <c r="D137" s="961" t="s">
        <v>2202</v>
      </c>
      <c r="E137" s="962" t="s">
        <v>2203</v>
      </c>
      <c r="F137" s="963" t="s">
        <v>1622</v>
      </c>
      <c r="G137" s="963" t="s">
        <v>1622</v>
      </c>
      <c r="H137" s="964" t="s">
        <v>1692</v>
      </c>
      <c r="I137" s="989">
        <v>0</v>
      </c>
    </row>
    <row r="138" spans="1:9" ht="51.75" thickBot="1" x14ac:dyDescent="0.25">
      <c r="A138" s="966" t="s">
        <v>1813</v>
      </c>
      <c r="B138" s="954" t="s">
        <v>2204</v>
      </c>
      <c r="C138" s="955" t="s">
        <v>2205</v>
      </c>
      <c r="D138" s="956"/>
      <c r="E138" s="957"/>
      <c r="F138" s="958" t="s">
        <v>657</v>
      </c>
      <c r="G138" s="958" t="s">
        <v>657</v>
      </c>
      <c r="H138" s="959"/>
      <c r="I138" s="960"/>
    </row>
    <row r="139" spans="1:9" ht="51.75" thickBot="1" x14ac:dyDescent="0.25">
      <c r="A139" s="966" t="s">
        <v>1813</v>
      </c>
      <c r="B139" s="954" t="s">
        <v>2204</v>
      </c>
      <c r="C139" s="952" t="s">
        <v>2206</v>
      </c>
      <c r="D139" s="961" t="s">
        <v>1620</v>
      </c>
      <c r="E139" s="962" t="s">
        <v>1888</v>
      </c>
      <c r="F139" s="963" t="s">
        <v>1622</v>
      </c>
      <c r="G139" s="963" t="s">
        <v>1622</v>
      </c>
      <c r="H139" s="964" t="s">
        <v>1623</v>
      </c>
      <c r="I139" s="971" t="str">
        <f>I3</f>
        <v>969500Z05GRNU3KPEY94</v>
      </c>
    </row>
    <row r="140" spans="1:9" ht="51.75" thickBot="1" x14ac:dyDescent="0.25">
      <c r="A140" s="966" t="s">
        <v>1813</v>
      </c>
      <c r="B140" s="954" t="s">
        <v>2204</v>
      </c>
      <c r="C140" s="952" t="s">
        <v>2207</v>
      </c>
      <c r="D140" s="965" t="s">
        <v>2208</v>
      </c>
      <c r="E140" s="962" t="s">
        <v>2209</v>
      </c>
      <c r="F140" s="963" t="s">
        <v>1622</v>
      </c>
      <c r="G140" s="963" t="s">
        <v>1622</v>
      </c>
      <c r="H140" s="964" t="s">
        <v>1768</v>
      </c>
      <c r="I140" s="971" t="s">
        <v>899</v>
      </c>
    </row>
    <row r="141" spans="1:9" ht="102.75" thickBot="1" x14ac:dyDescent="0.25">
      <c r="A141" s="966" t="s">
        <v>1813</v>
      </c>
      <c r="B141" s="954" t="s">
        <v>2204</v>
      </c>
      <c r="C141" s="952" t="s">
        <v>2210</v>
      </c>
      <c r="D141" s="965" t="s">
        <v>2010</v>
      </c>
      <c r="E141" s="962" t="s">
        <v>2011</v>
      </c>
      <c r="F141" s="963" t="s">
        <v>1622</v>
      </c>
      <c r="G141" s="963" t="s">
        <v>1622</v>
      </c>
      <c r="H141" s="964" t="s">
        <v>1649</v>
      </c>
      <c r="I141" s="964" t="s">
        <v>883</v>
      </c>
    </row>
    <row r="142" spans="1:9" ht="51.75" thickBot="1" x14ac:dyDescent="0.25">
      <c r="A142" s="966" t="s">
        <v>1813</v>
      </c>
      <c r="B142" s="954" t="s">
        <v>2204</v>
      </c>
      <c r="C142" s="952" t="s">
        <v>2211</v>
      </c>
      <c r="D142" s="965" t="s">
        <v>2212</v>
      </c>
      <c r="E142" s="962" t="s">
        <v>2213</v>
      </c>
      <c r="F142" s="963" t="s">
        <v>1622</v>
      </c>
      <c r="G142" s="963" t="s">
        <v>1666</v>
      </c>
      <c r="H142" s="964" t="s">
        <v>1898</v>
      </c>
      <c r="I142" s="964" t="s">
        <v>2424</v>
      </c>
    </row>
    <row r="143" spans="1:9" ht="51.75" thickBot="1" x14ac:dyDescent="0.25">
      <c r="A143" s="966" t="s">
        <v>1813</v>
      </c>
      <c r="B143" s="954" t="s">
        <v>2204</v>
      </c>
      <c r="C143" s="952" t="s">
        <v>2214</v>
      </c>
      <c r="D143" s="965" t="s">
        <v>2215</v>
      </c>
      <c r="E143" s="962" t="s">
        <v>2216</v>
      </c>
      <c r="F143" s="963" t="s">
        <v>1622</v>
      </c>
      <c r="G143" s="963" t="s">
        <v>1622</v>
      </c>
      <c r="H143" s="964" t="s">
        <v>1631</v>
      </c>
      <c r="I143" s="964" t="s">
        <v>250</v>
      </c>
    </row>
    <row r="144" spans="1:9" ht="51.75" thickBot="1" x14ac:dyDescent="0.25">
      <c r="A144" s="966" t="s">
        <v>1813</v>
      </c>
      <c r="B144" s="954" t="s">
        <v>2204</v>
      </c>
      <c r="C144" s="952" t="s">
        <v>2217</v>
      </c>
      <c r="D144" s="965" t="s">
        <v>2218</v>
      </c>
      <c r="E144" s="962" t="s">
        <v>2219</v>
      </c>
      <c r="F144" s="963" t="s">
        <v>1622</v>
      </c>
      <c r="G144" s="963" t="s">
        <v>1622</v>
      </c>
      <c r="H144" s="964" t="s">
        <v>2001</v>
      </c>
      <c r="I144" s="964" t="s">
        <v>899</v>
      </c>
    </row>
    <row r="145" spans="1:9" ht="51.75" thickBot="1" x14ac:dyDescent="0.25">
      <c r="A145" s="966" t="s">
        <v>1813</v>
      </c>
      <c r="B145" s="954" t="s">
        <v>2204</v>
      </c>
      <c r="C145" s="952" t="s">
        <v>2220</v>
      </c>
      <c r="D145" s="965" t="s">
        <v>2221</v>
      </c>
      <c r="E145" s="962" t="s">
        <v>2222</v>
      </c>
      <c r="F145" s="963" t="s">
        <v>1622</v>
      </c>
      <c r="G145" s="963" t="s">
        <v>1622</v>
      </c>
      <c r="H145" s="964" t="s">
        <v>1659</v>
      </c>
      <c r="I145" s="964" t="s">
        <v>2423</v>
      </c>
    </row>
    <row r="146" spans="1:9" ht="51.75" thickBot="1" x14ac:dyDescent="0.25">
      <c r="A146" s="966" t="s">
        <v>1813</v>
      </c>
      <c r="B146" s="954" t="s">
        <v>2204</v>
      </c>
      <c r="C146" s="952" t="s">
        <v>2223</v>
      </c>
      <c r="D146" s="965" t="s">
        <v>2224</v>
      </c>
      <c r="E146" s="962" t="s">
        <v>2225</v>
      </c>
      <c r="F146" s="963" t="s">
        <v>1622</v>
      </c>
      <c r="G146" s="963" t="s">
        <v>1622</v>
      </c>
      <c r="H146" s="964" t="s">
        <v>2048</v>
      </c>
      <c r="I146" s="964" t="s">
        <v>2484</v>
      </c>
    </row>
    <row r="147" spans="1:9" ht="90" thickBot="1" x14ac:dyDescent="0.25">
      <c r="A147" s="966" t="s">
        <v>1813</v>
      </c>
      <c r="B147" s="954" t="s">
        <v>2204</v>
      </c>
      <c r="C147" s="952" t="s">
        <v>2226</v>
      </c>
      <c r="D147" s="965" t="s">
        <v>2227</v>
      </c>
      <c r="E147" s="962" t="s">
        <v>2228</v>
      </c>
      <c r="F147" s="963" t="s">
        <v>1622</v>
      </c>
      <c r="G147" s="963" t="s">
        <v>1622</v>
      </c>
      <c r="H147" s="964" t="s">
        <v>1649</v>
      </c>
      <c r="I147" s="964" t="s">
        <v>883</v>
      </c>
    </row>
    <row r="148" spans="1:9" ht="64.5" thickBot="1" x14ac:dyDescent="0.25">
      <c r="A148" s="966" t="s">
        <v>1813</v>
      </c>
      <c r="B148" s="954" t="s">
        <v>2204</v>
      </c>
      <c r="C148" s="952" t="s">
        <v>2229</v>
      </c>
      <c r="D148" s="965" t="s">
        <v>2230</v>
      </c>
      <c r="E148" s="962" t="s">
        <v>2231</v>
      </c>
      <c r="F148" s="963" t="s">
        <v>1622</v>
      </c>
      <c r="G148" s="963" t="s">
        <v>1666</v>
      </c>
      <c r="H148" s="964" t="s">
        <v>1649</v>
      </c>
      <c r="I148" s="964" t="s">
        <v>2424</v>
      </c>
    </row>
    <row r="149" spans="1:9" ht="51.75" thickBot="1" x14ac:dyDescent="0.25">
      <c r="A149" s="966" t="s">
        <v>1813</v>
      </c>
      <c r="B149" s="954" t="s">
        <v>2204</v>
      </c>
      <c r="C149" s="952" t="s">
        <v>2232</v>
      </c>
      <c r="D149" s="965" t="s">
        <v>2233</v>
      </c>
      <c r="E149" s="962" t="s">
        <v>2234</v>
      </c>
      <c r="F149" s="963" t="s">
        <v>1622</v>
      </c>
      <c r="G149" s="963" t="s">
        <v>1622</v>
      </c>
      <c r="H149" s="964" t="s">
        <v>1659</v>
      </c>
      <c r="I149" s="964" t="s">
        <v>2423</v>
      </c>
    </row>
    <row r="150" spans="1:9" ht="51.75" thickBot="1" x14ac:dyDescent="0.25">
      <c r="A150" s="966" t="s">
        <v>1813</v>
      </c>
      <c r="B150" s="954" t="s">
        <v>2204</v>
      </c>
      <c r="C150" s="952" t="s">
        <v>2235</v>
      </c>
      <c r="D150" s="965" t="s">
        <v>2236</v>
      </c>
      <c r="E150" s="962" t="s">
        <v>2237</v>
      </c>
      <c r="F150" s="963" t="s">
        <v>1622</v>
      </c>
      <c r="G150" s="963" t="s">
        <v>1622</v>
      </c>
      <c r="H150" s="964" t="s">
        <v>1872</v>
      </c>
      <c r="I150" s="964" t="s">
        <v>687</v>
      </c>
    </row>
    <row r="151" spans="1:9" ht="51.75" thickBot="1" x14ac:dyDescent="0.25">
      <c r="A151" s="966" t="s">
        <v>1813</v>
      </c>
      <c r="B151" s="954" t="s">
        <v>2204</v>
      </c>
      <c r="C151" s="952" t="s">
        <v>2238</v>
      </c>
      <c r="D151" s="965" t="s">
        <v>2239</v>
      </c>
      <c r="E151" s="962" t="s">
        <v>2240</v>
      </c>
      <c r="F151" s="963" t="s">
        <v>1622</v>
      </c>
      <c r="G151" s="963" t="s">
        <v>1622</v>
      </c>
      <c r="H151" s="964" t="s">
        <v>1670</v>
      </c>
      <c r="I151" s="987" t="str">
        <f>TEXT('11 - Notes Follow-up'!D24,"### ###0,00")&amp;" EUR"</f>
        <v>633 803 781,08 EUR</v>
      </c>
    </row>
    <row r="152" spans="1:9" ht="51.75" thickBot="1" x14ac:dyDescent="0.25">
      <c r="A152" s="966" t="s">
        <v>1813</v>
      </c>
      <c r="B152" s="954" t="s">
        <v>2204</v>
      </c>
      <c r="C152" s="952" t="s">
        <v>2241</v>
      </c>
      <c r="D152" s="965" t="s">
        <v>2242</v>
      </c>
      <c r="E152" s="962" t="s">
        <v>2243</v>
      </c>
      <c r="F152" s="963" t="s">
        <v>1622</v>
      </c>
      <c r="G152" s="963" t="s">
        <v>1622</v>
      </c>
      <c r="H152" s="964" t="s">
        <v>1670</v>
      </c>
      <c r="I152" s="987" t="str">
        <f>I151</f>
        <v>633 803 781,08 EUR</v>
      </c>
    </row>
    <row r="153" spans="1:9" ht="51.75" thickBot="1" x14ac:dyDescent="0.25">
      <c r="A153" s="966" t="s">
        <v>1813</v>
      </c>
      <c r="B153" s="954" t="s">
        <v>2204</v>
      </c>
      <c r="C153" s="952" t="s">
        <v>2244</v>
      </c>
      <c r="D153" s="965" t="s">
        <v>2245</v>
      </c>
      <c r="E153" s="962" t="s">
        <v>2246</v>
      </c>
      <c r="F153" s="963" t="s">
        <v>1622</v>
      </c>
      <c r="G153" s="963" t="s">
        <v>1666</v>
      </c>
      <c r="H153" s="964" t="s">
        <v>1692</v>
      </c>
      <c r="I153" s="964" t="s">
        <v>2424</v>
      </c>
    </row>
    <row r="154" spans="1:9" ht="51.75" thickBot="1" x14ac:dyDescent="0.25">
      <c r="A154" s="966" t="s">
        <v>1813</v>
      </c>
      <c r="B154" s="954" t="s">
        <v>2204</v>
      </c>
      <c r="C154" s="952" t="s">
        <v>2247</v>
      </c>
      <c r="D154" s="965" t="s">
        <v>2248</v>
      </c>
      <c r="E154" s="962" t="s">
        <v>2249</v>
      </c>
      <c r="F154" s="963" t="s">
        <v>1622</v>
      </c>
      <c r="G154" s="963" t="s">
        <v>1666</v>
      </c>
      <c r="H154" s="964" t="s">
        <v>1692</v>
      </c>
      <c r="I154" s="964" t="s">
        <v>2424</v>
      </c>
    </row>
    <row r="155" spans="1:9" ht="51.75" thickBot="1" x14ac:dyDescent="0.25">
      <c r="A155" s="966" t="s">
        <v>1813</v>
      </c>
      <c r="B155" s="954" t="s">
        <v>2204</v>
      </c>
      <c r="C155" s="952" t="s">
        <v>2250</v>
      </c>
      <c r="D155" s="965" t="s">
        <v>2251</v>
      </c>
      <c r="E155" s="962" t="s">
        <v>2252</v>
      </c>
      <c r="F155" s="963" t="s">
        <v>1622</v>
      </c>
      <c r="G155" s="963" t="s">
        <v>1666</v>
      </c>
      <c r="H155" s="964" t="s">
        <v>1898</v>
      </c>
      <c r="I155" s="964" t="s">
        <v>2424</v>
      </c>
    </row>
    <row r="156" spans="1:9" ht="102.75" thickBot="1" x14ac:dyDescent="0.25">
      <c r="A156" s="966" t="s">
        <v>1813</v>
      </c>
      <c r="B156" s="954" t="s">
        <v>2204</v>
      </c>
      <c r="C156" s="952" t="s">
        <v>2253</v>
      </c>
      <c r="D156" s="965" t="s">
        <v>2254</v>
      </c>
      <c r="E156" s="962" t="s">
        <v>2255</v>
      </c>
      <c r="F156" s="963" t="s">
        <v>1622</v>
      </c>
      <c r="G156" s="963" t="s">
        <v>1666</v>
      </c>
      <c r="H156" s="964" t="s">
        <v>1649</v>
      </c>
      <c r="I156" s="964" t="s">
        <v>2424</v>
      </c>
    </row>
    <row r="157" spans="1:9" ht="51.75" thickBot="1" x14ac:dyDescent="0.25">
      <c r="A157" s="966" t="s">
        <v>1813</v>
      </c>
      <c r="B157" s="954" t="s">
        <v>2204</v>
      </c>
      <c r="C157" s="952" t="s">
        <v>2256</v>
      </c>
      <c r="D157" s="965" t="s">
        <v>2257</v>
      </c>
      <c r="E157" s="962" t="s">
        <v>2258</v>
      </c>
      <c r="F157" s="963" t="s">
        <v>1622</v>
      </c>
      <c r="G157" s="963" t="s">
        <v>1666</v>
      </c>
      <c r="H157" s="964" t="s">
        <v>1627</v>
      </c>
      <c r="I157" s="964" t="s">
        <v>2424</v>
      </c>
    </row>
    <row r="158" spans="1:9" ht="51.75" thickBot="1" x14ac:dyDescent="0.25">
      <c r="A158" s="966" t="s">
        <v>1813</v>
      </c>
      <c r="B158" s="954" t="s">
        <v>2204</v>
      </c>
      <c r="C158" s="952" t="s">
        <v>2259</v>
      </c>
      <c r="D158" s="965" t="s">
        <v>2260</v>
      </c>
      <c r="E158" s="962" t="s">
        <v>2261</v>
      </c>
      <c r="F158" s="963" t="s">
        <v>1622</v>
      </c>
      <c r="G158" s="963" t="s">
        <v>1622</v>
      </c>
      <c r="H158" s="964" t="s">
        <v>1659</v>
      </c>
      <c r="I158" s="964" t="s">
        <v>2422</v>
      </c>
    </row>
    <row r="159" spans="1:9" ht="179.25" thickBot="1" x14ac:dyDescent="0.25">
      <c r="A159" s="966" t="s">
        <v>1813</v>
      </c>
      <c r="B159" s="954" t="s">
        <v>2204</v>
      </c>
      <c r="C159" s="952" t="s">
        <v>2262</v>
      </c>
      <c r="D159" s="965" t="s">
        <v>2263</v>
      </c>
      <c r="E159" s="962" t="s">
        <v>2264</v>
      </c>
      <c r="F159" s="963" t="s">
        <v>1622</v>
      </c>
      <c r="G159" s="963" t="s">
        <v>1666</v>
      </c>
      <c r="H159" s="964" t="s">
        <v>1649</v>
      </c>
      <c r="I159" s="964" t="s">
        <v>2424</v>
      </c>
    </row>
    <row r="160" spans="1:9" ht="51.75" thickBot="1" x14ac:dyDescent="0.25">
      <c r="A160" s="966" t="s">
        <v>1813</v>
      </c>
      <c r="B160" s="954" t="s">
        <v>2204</v>
      </c>
      <c r="C160" s="952" t="s">
        <v>2265</v>
      </c>
      <c r="D160" s="965" t="s">
        <v>2266</v>
      </c>
      <c r="E160" s="962" t="s">
        <v>2267</v>
      </c>
      <c r="F160" s="963" t="s">
        <v>1622</v>
      </c>
      <c r="G160" s="963" t="s">
        <v>1622</v>
      </c>
      <c r="H160" s="964" t="s">
        <v>1659</v>
      </c>
      <c r="I160" s="964" t="s">
        <v>2423</v>
      </c>
    </row>
    <row r="161" spans="1:9" ht="51.75" thickBot="1" x14ac:dyDescent="0.25">
      <c r="A161" s="966" t="s">
        <v>1813</v>
      </c>
      <c r="B161" s="954" t="s">
        <v>2204</v>
      </c>
      <c r="C161" s="952" t="s">
        <v>2268</v>
      </c>
      <c r="D161" s="965" t="s">
        <v>2269</v>
      </c>
      <c r="E161" s="962" t="s">
        <v>2270</v>
      </c>
      <c r="F161" s="963" t="s">
        <v>1622</v>
      </c>
      <c r="G161" s="963" t="s">
        <v>1666</v>
      </c>
      <c r="H161" s="964" t="s">
        <v>1789</v>
      </c>
      <c r="I161" s="964" t="s">
        <v>2424</v>
      </c>
    </row>
    <row r="162" spans="1:9" ht="51.75" thickBot="1" x14ac:dyDescent="0.25">
      <c r="A162" s="966" t="s">
        <v>1813</v>
      </c>
      <c r="B162" s="954" t="s">
        <v>2204</v>
      </c>
      <c r="C162" s="952" t="s">
        <v>2271</v>
      </c>
      <c r="D162" s="965" t="s">
        <v>2272</v>
      </c>
      <c r="E162" s="962" t="s">
        <v>2273</v>
      </c>
      <c r="F162" s="963" t="s">
        <v>1622</v>
      </c>
      <c r="G162" s="963" t="s">
        <v>1622</v>
      </c>
      <c r="H162" s="964" t="s">
        <v>1659</v>
      </c>
      <c r="I162" s="964" t="s">
        <v>2422</v>
      </c>
    </row>
    <row r="163" spans="1:9" ht="51.75" thickBot="1" x14ac:dyDescent="0.25">
      <c r="A163" s="966" t="s">
        <v>1813</v>
      </c>
      <c r="B163" s="954" t="s">
        <v>2204</v>
      </c>
      <c r="C163" s="952" t="s">
        <v>2274</v>
      </c>
      <c r="D163" s="965" t="s">
        <v>2275</v>
      </c>
      <c r="E163" s="962" t="s">
        <v>2276</v>
      </c>
      <c r="F163" s="963" t="s">
        <v>1622</v>
      </c>
      <c r="G163" s="963" t="s">
        <v>1622</v>
      </c>
      <c r="H163" s="964" t="s">
        <v>1659</v>
      </c>
      <c r="I163" s="964" t="s">
        <v>2423</v>
      </c>
    </row>
    <row r="164" spans="1:9" ht="51.75" thickBot="1" x14ac:dyDescent="0.25">
      <c r="A164" s="966" t="s">
        <v>1813</v>
      </c>
      <c r="B164" s="954" t="s">
        <v>2204</v>
      </c>
      <c r="C164" s="952" t="s">
        <v>2277</v>
      </c>
      <c r="D164" s="965" t="s">
        <v>2278</v>
      </c>
      <c r="E164" s="962" t="s">
        <v>2279</v>
      </c>
      <c r="F164" s="963" t="s">
        <v>1622</v>
      </c>
      <c r="G164" s="963" t="s">
        <v>1666</v>
      </c>
      <c r="H164" s="964" t="s">
        <v>1692</v>
      </c>
      <c r="I164" s="964" t="s">
        <v>2424</v>
      </c>
    </row>
    <row r="165" spans="1:9" ht="64.5" thickBot="1" x14ac:dyDescent="0.25">
      <c r="A165" s="966" t="s">
        <v>1813</v>
      </c>
      <c r="B165" s="954" t="s">
        <v>2204</v>
      </c>
      <c r="C165" s="952" t="s">
        <v>2280</v>
      </c>
      <c r="D165" s="965" t="s">
        <v>2281</v>
      </c>
      <c r="E165" s="962" t="s">
        <v>2282</v>
      </c>
      <c r="F165" s="963" t="s">
        <v>1622</v>
      </c>
      <c r="G165" s="963" t="s">
        <v>1666</v>
      </c>
      <c r="H165" s="964" t="s">
        <v>1670</v>
      </c>
      <c r="I165" s="964" t="s">
        <v>2424</v>
      </c>
    </row>
    <row r="166" spans="1:9" ht="51.75" thickBot="1" x14ac:dyDescent="0.25">
      <c r="A166" s="966" t="s">
        <v>1813</v>
      </c>
      <c r="B166" s="954" t="s">
        <v>2204</v>
      </c>
      <c r="C166" s="952" t="s">
        <v>2283</v>
      </c>
      <c r="D166" s="965" t="s">
        <v>2284</v>
      </c>
      <c r="E166" s="962" t="s">
        <v>2285</v>
      </c>
      <c r="F166" s="963" t="s">
        <v>1622</v>
      </c>
      <c r="G166" s="963" t="s">
        <v>1666</v>
      </c>
      <c r="H166" s="964" t="s">
        <v>1789</v>
      </c>
      <c r="I166" s="964" t="s">
        <v>2424</v>
      </c>
    </row>
    <row r="167" spans="1:9" ht="51.75" thickBot="1" x14ac:dyDescent="0.25">
      <c r="A167" s="966" t="s">
        <v>1813</v>
      </c>
      <c r="B167" s="954" t="s">
        <v>2204</v>
      </c>
      <c r="C167" s="952" t="s">
        <v>2286</v>
      </c>
      <c r="D167" s="965" t="s">
        <v>2287</v>
      </c>
      <c r="E167" s="962" t="s">
        <v>2288</v>
      </c>
      <c r="F167" s="963" t="s">
        <v>1622</v>
      </c>
      <c r="G167" s="963" t="s">
        <v>1666</v>
      </c>
      <c r="H167" s="964" t="s">
        <v>1649</v>
      </c>
      <c r="I167" s="964" t="s">
        <v>2424</v>
      </c>
    </row>
    <row r="168" spans="1:9" ht="51.75" thickBot="1" x14ac:dyDescent="0.25">
      <c r="A168" s="966" t="s">
        <v>1813</v>
      </c>
      <c r="B168" s="954" t="s">
        <v>2204</v>
      </c>
      <c r="C168" s="952" t="s">
        <v>2289</v>
      </c>
      <c r="D168" s="965" t="s">
        <v>2290</v>
      </c>
      <c r="E168" s="962" t="s">
        <v>2291</v>
      </c>
      <c r="F168" s="963" t="s">
        <v>1622</v>
      </c>
      <c r="G168" s="963" t="s">
        <v>1666</v>
      </c>
      <c r="H168" s="964" t="s">
        <v>1627</v>
      </c>
      <c r="I168" s="964" t="s">
        <v>2424</v>
      </c>
    </row>
    <row r="169" spans="1:9" ht="409.6" thickBot="1" x14ac:dyDescent="0.25">
      <c r="A169" s="966" t="s">
        <v>1813</v>
      </c>
      <c r="B169" s="954" t="s">
        <v>2204</v>
      </c>
      <c r="C169" s="952" t="s">
        <v>2292</v>
      </c>
      <c r="D169" s="965" t="s">
        <v>2293</v>
      </c>
      <c r="E169" s="969" t="s">
        <v>2294</v>
      </c>
      <c r="F169" s="963" t="s">
        <v>1622</v>
      </c>
      <c r="G169" s="963" t="s">
        <v>1666</v>
      </c>
      <c r="H169" s="964" t="s">
        <v>1649</v>
      </c>
      <c r="I169" s="964" t="s">
        <v>2424</v>
      </c>
    </row>
    <row r="170" spans="1:9" ht="192" thickBot="1" x14ac:dyDescent="0.25">
      <c r="A170" s="966" t="s">
        <v>1813</v>
      </c>
      <c r="B170" s="954" t="s">
        <v>2204</v>
      </c>
      <c r="C170" s="952" t="s">
        <v>2295</v>
      </c>
      <c r="D170" s="965" t="s">
        <v>2296</v>
      </c>
      <c r="E170" s="969" t="s">
        <v>2297</v>
      </c>
      <c r="F170" s="963" t="s">
        <v>1622</v>
      </c>
      <c r="G170" s="963" t="s">
        <v>1666</v>
      </c>
      <c r="H170" s="964" t="s">
        <v>1649</v>
      </c>
      <c r="I170" s="964" t="s">
        <v>2424</v>
      </c>
    </row>
    <row r="171" spans="1:9" ht="90" thickBot="1" x14ac:dyDescent="0.25">
      <c r="A171" s="966" t="s">
        <v>1813</v>
      </c>
      <c r="B171" s="954" t="s">
        <v>2204</v>
      </c>
      <c r="C171" s="952" t="s">
        <v>2298</v>
      </c>
      <c r="D171" s="965" t="s">
        <v>2299</v>
      </c>
      <c r="E171" s="962" t="s">
        <v>2300</v>
      </c>
      <c r="F171" s="963" t="s">
        <v>1622</v>
      </c>
      <c r="G171" s="963" t="s">
        <v>1666</v>
      </c>
      <c r="H171" s="964" t="s">
        <v>1649</v>
      </c>
      <c r="I171" s="964" t="s">
        <v>2424</v>
      </c>
    </row>
    <row r="172" spans="1:9" ht="51.75" thickBot="1" x14ac:dyDescent="0.25">
      <c r="A172" s="966" t="s">
        <v>1813</v>
      </c>
      <c r="B172" s="954" t="s">
        <v>2204</v>
      </c>
      <c r="C172" s="952" t="s">
        <v>2301</v>
      </c>
      <c r="D172" s="965" t="s">
        <v>2302</v>
      </c>
      <c r="E172" s="970" t="s">
        <v>2303</v>
      </c>
      <c r="F172" s="963" t="s">
        <v>1622</v>
      </c>
      <c r="G172" s="963" t="s">
        <v>1666</v>
      </c>
      <c r="H172" s="964" t="s">
        <v>1692</v>
      </c>
      <c r="I172" s="964" t="s">
        <v>2424</v>
      </c>
    </row>
    <row r="173" spans="1:9" ht="51.75" thickBot="1" x14ac:dyDescent="0.25">
      <c r="A173" s="966" t="s">
        <v>1813</v>
      </c>
      <c r="B173" s="954" t="s">
        <v>2204</v>
      </c>
      <c r="C173" s="952" t="s">
        <v>2304</v>
      </c>
      <c r="D173" s="965" t="s">
        <v>2305</v>
      </c>
      <c r="E173" s="970" t="s">
        <v>2306</v>
      </c>
      <c r="F173" s="963" t="s">
        <v>1622</v>
      </c>
      <c r="G173" s="963" t="s">
        <v>1666</v>
      </c>
      <c r="H173" s="964" t="s">
        <v>1692</v>
      </c>
      <c r="I173" s="964" t="s">
        <v>2424</v>
      </c>
    </row>
    <row r="174" spans="1:9" ht="409.6" thickBot="1" x14ac:dyDescent="0.25">
      <c r="A174" s="966" t="s">
        <v>1813</v>
      </c>
      <c r="B174" s="954" t="s">
        <v>2204</v>
      </c>
      <c r="C174" s="952" t="s">
        <v>2307</v>
      </c>
      <c r="D174" s="965" t="s">
        <v>2308</v>
      </c>
      <c r="E174" s="969" t="s">
        <v>2309</v>
      </c>
      <c r="F174" s="963" t="s">
        <v>1622</v>
      </c>
      <c r="G174" s="963" t="s">
        <v>1666</v>
      </c>
      <c r="H174" s="964" t="s">
        <v>1649</v>
      </c>
      <c r="I174" s="964" t="s">
        <v>2424</v>
      </c>
    </row>
    <row r="175" spans="1:9" ht="192" thickBot="1" x14ac:dyDescent="0.25">
      <c r="A175" s="966" t="s">
        <v>1813</v>
      </c>
      <c r="B175" s="954" t="s">
        <v>2204</v>
      </c>
      <c r="C175" s="952" t="s">
        <v>2310</v>
      </c>
      <c r="D175" s="965" t="s">
        <v>2311</v>
      </c>
      <c r="E175" s="969" t="s">
        <v>2312</v>
      </c>
      <c r="F175" s="963" t="s">
        <v>1622</v>
      </c>
      <c r="G175" s="963" t="s">
        <v>1666</v>
      </c>
      <c r="H175" s="964" t="s">
        <v>1649</v>
      </c>
      <c r="I175" s="964" t="s">
        <v>2424</v>
      </c>
    </row>
    <row r="176" spans="1:9" ht="90" thickBot="1" x14ac:dyDescent="0.25">
      <c r="A176" s="966" t="s">
        <v>1813</v>
      </c>
      <c r="B176" s="954" t="s">
        <v>2204</v>
      </c>
      <c r="C176" s="952" t="s">
        <v>2313</v>
      </c>
      <c r="D176" s="965" t="s">
        <v>2314</v>
      </c>
      <c r="E176" s="962" t="s">
        <v>2315</v>
      </c>
      <c r="F176" s="963" t="s">
        <v>1622</v>
      </c>
      <c r="G176" s="963" t="s">
        <v>1666</v>
      </c>
      <c r="H176" s="964" t="s">
        <v>1649</v>
      </c>
      <c r="I176" s="964" t="s">
        <v>2424</v>
      </c>
    </row>
    <row r="177" spans="1:9" ht="51.75" thickBot="1" x14ac:dyDescent="0.25">
      <c r="A177" s="966" t="s">
        <v>1813</v>
      </c>
      <c r="B177" s="954" t="s">
        <v>2204</v>
      </c>
      <c r="C177" s="952" t="s">
        <v>2316</v>
      </c>
      <c r="D177" s="965" t="s">
        <v>2317</v>
      </c>
      <c r="E177" s="970" t="s">
        <v>2318</v>
      </c>
      <c r="F177" s="963" t="s">
        <v>1622</v>
      </c>
      <c r="G177" s="963" t="s">
        <v>1666</v>
      </c>
      <c r="H177" s="964" t="s">
        <v>1692</v>
      </c>
      <c r="I177" s="964" t="s">
        <v>2424</v>
      </c>
    </row>
    <row r="178" spans="1:9" ht="51.75" thickBot="1" x14ac:dyDescent="0.25">
      <c r="A178" s="966" t="s">
        <v>1813</v>
      </c>
      <c r="B178" s="954" t="s">
        <v>2204</v>
      </c>
      <c r="C178" s="952" t="s">
        <v>2319</v>
      </c>
      <c r="D178" s="965" t="s">
        <v>2320</v>
      </c>
      <c r="E178" s="970" t="s">
        <v>2321</v>
      </c>
      <c r="F178" s="963" t="s">
        <v>1622</v>
      </c>
      <c r="G178" s="963" t="s">
        <v>1666</v>
      </c>
      <c r="H178" s="964" t="s">
        <v>1692</v>
      </c>
      <c r="I178" s="964" t="s">
        <v>2424</v>
      </c>
    </row>
    <row r="179" spans="1:9" ht="51.75" thickBot="1" x14ac:dyDescent="0.25">
      <c r="A179" s="966" t="s">
        <v>1813</v>
      </c>
      <c r="B179" s="954" t="s">
        <v>2204</v>
      </c>
      <c r="C179" s="952" t="s">
        <v>2322</v>
      </c>
      <c r="D179" s="965" t="s">
        <v>2323</v>
      </c>
      <c r="E179" s="962" t="s">
        <v>2324</v>
      </c>
      <c r="F179" s="963" t="s">
        <v>1622</v>
      </c>
      <c r="G179" s="963" t="s">
        <v>1622</v>
      </c>
      <c r="H179" s="964" t="s">
        <v>1659</v>
      </c>
      <c r="I179" s="964" t="s">
        <v>2422</v>
      </c>
    </row>
    <row r="180" spans="1:9" ht="51.75" thickBot="1" x14ac:dyDescent="0.25">
      <c r="A180" s="966" t="s">
        <v>1813</v>
      </c>
      <c r="B180" s="954" t="s">
        <v>2204</v>
      </c>
      <c r="C180" s="952" t="s">
        <v>2325</v>
      </c>
      <c r="D180" s="965" t="s">
        <v>2326</v>
      </c>
      <c r="E180" s="962" t="s">
        <v>2327</v>
      </c>
      <c r="F180" s="963" t="s">
        <v>1622</v>
      </c>
      <c r="G180" s="963" t="s">
        <v>1622</v>
      </c>
      <c r="H180" s="963" t="s">
        <v>1659</v>
      </c>
      <c r="I180" s="964" t="s">
        <v>2423</v>
      </c>
    </row>
    <row r="181" spans="1:9" ht="128.25" thickBot="1" x14ac:dyDescent="0.25">
      <c r="A181" s="966" t="s">
        <v>1813</v>
      </c>
      <c r="B181" s="954" t="s">
        <v>2204</v>
      </c>
      <c r="C181" s="952" t="s">
        <v>2328</v>
      </c>
      <c r="D181" s="965" t="s">
        <v>2329</v>
      </c>
      <c r="E181" s="962" t="s">
        <v>2330</v>
      </c>
      <c r="F181" s="963" t="s">
        <v>1622</v>
      </c>
      <c r="G181" s="963" t="s">
        <v>1622</v>
      </c>
      <c r="H181" s="964" t="s">
        <v>1649</v>
      </c>
      <c r="I181" s="964" t="s">
        <v>2496</v>
      </c>
    </row>
    <row r="182" spans="1:9" ht="51.75" thickBot="1" x14ac:dyDescent="0.25">
      <c r="A182" s="966" t="s">
        <v>1813</v>
      </c>
      <c r="B182" s="954" t="s">
        <v>2204</v>
      </c>
      <c r="C182" s="952" t="s">
        <v>2331</v>
      </c>
      <c r="D182" s="965" t="s">
        <v>2332</v>
      </c>
      <c r="E182" s="962" t="s">
        <v>2333</v>
      </c>
      <c r="F182" s="963" t="s">
        <v>1622</v>
      </c>
      <c r="G182" s="963" t="s">
        <v>1622</v>
      </c>
      <c r="H182" s="964" t="s">
        <v>1659</v>
      </c>
      <c r="I182" s="964" t="s">
        <v>2423</v>
      </c>
    </row>
    <row r="183" spans="1:9" ht="51.75" thickBot="1" x14ac:dyDescent="0.25">
      <c r="A183" s="966" t="s">
        <v>1813</v>
      </c>
      <c r="B183" s="954" t="s">
        <v>2204</v>
      </c>
      <c r="C183" s="952" t="s">
        <v>2334</v>
      </c>
      <c r="D183" s="965" t="s">
        <v>2335</v>
      </c>
      <c r="E183" s="962" t="s">
        <v>2336</v>
      </c>
      <c r="F183" s="963" t="s">
        <v>1622</v>
      </c>
      <c r="G183" s="963" t="s">
        <v>1622</v>
      </c>
      <c r="H183" s="964" t="s">
        <v>1659</v>
      </c>
      <c r="I183" s="964" t="s">
        <v>2423</v>
      </c>
    </row>
    <row r="184" spans="1:9" ht="51.75" thickBot="1" x14ac:dyDescent="0.25">
      <c r="A184" s="966" t="s">
        <v>1813</v>
      </c>
      <c r="B184" s="954" t="s">
        <v>2204</v>
      </c>
      <c r="C184" s="952" t="s">
        <v>2337</v>
      </c>
      <c r="D184" s="965" t="s">
        <v>2338</v>
      </c>
      <c r="E184" s="962" t="s">
        <v>2339</v>
      </c>
      <c r="F184" s="963" t="s">
        <v>1622</v>
      </c>
      <c r="G184" s="963" t="s">
        <v>1622</v>
      </c>
      <c r="H184" s="964" t="s">
        <v>1659</v>
      </c>
      <c r="I184" s="964" t="s">
        <v>2423</v>
      </c>
    </row>
    <row r="185" spans="1:9" ht="51.75" thickBot="1" x14ac:dyDescent="0.25">
      <c r="A185" s="966" t="s">
        <v>1813</v>
      </c>
      <c r="B185" s="954" t="s">
        <v>2204</v>
      </c>
      <c r="C185" s="952" t="s">
        <v>2340</v>
      </c>
      <c r="D185" s="965" t="s">
        <v>2341</v>
      </c>
      <c r="E185" s="962" t="s">
        <v>2342</v>
      </c>
      <c r="F185" s="963" t="s">
        <v>1622</v>
      </c>
      <c r="G185" s="963" t="s">
        <v>1622</v>
      </c>
      <c r="H185" s="964" t="s">
        <v>1659</v>
      </c>
      <c r="I185" s="964" t="s">
        <v>2423</v>
      </c>
    </row>
    <row r="186" spans="1:9" ht="51.75" thickBot="1" x14ac:dyDescent="0.25">
      <c r="A186" s="966" t="s">
        <v>1813</v>
      </c>
      <c r="B186" s="954" t="s">
        <v>2204</v>
      </c>
      <c r="C186" s="952" t="s">
        <v>2343</v>
      </c>
      <c r="D186" s="965" t="s">
        <v>2344</v>
      </c>
      <c r="E186" s="962" t="s">
        <v>2345</v>
      </c>
      <c r="F186" s="963" t="s">
        <v>1622</v>
      </c>
      <c r="G186" s="963" t="s">
        <v>1622</v>
      </c>
      <c r="H186" s="964" t="s">
        <v>1670</v>
      </c>
      <c r="I186" s="964" t="s">
        <v>2483</v>
      </c>
    </row>
    <row r="187" spans="1:9" ht="64.5" thickBot="1" x14ac:dyDescent="0.25">
      <c r="A187" s="966" t="s">
        <v>1813</v>
      </c>
      <c r="B187" s="954" t="s">
        <v>2204</v>
      </c>
      <c r="C187" s="952" t="s">
        <v>2346</v>
      </c>
      <c r="D187" s="965" t="s">
        <v>2347</v>
      </c>
      <c r="E187" s="962" t="s">
        <v>2348</v>
      </c>
      <c r="F187" s="963" t="s">
        <v>1622</v>
      </c>
      <c r="G187" s="963" t="s">
        <v>1622</v>
      </c>
      <c r="H187" s="964" t="s">
        <v>1670</v>
      </c>
      <c r="I187" s="964" t="s">
        <v>2483</v>
      </c>
    </row>
    <row r="188" spans="1:9" ht="51.75" thickBot="1" x14ac:dyDescent="0.25">
      <c r="A188" s="966" t="s">
        <v>1813</v>
      </c>
      <c r="B188" s="954" t="s">
        <v>2204</v>
      </c>
      <c r="C188" s="952" t="s">
        <v>2349</v>
      </c>
      <c r="D188" s="965" t="s">
        <v>2350</v>
      </c>
      <c r="E188" s="962" t="s">
        <v>2351</v>
      </c>
      <c r="F188" s="963" t="s">
        <v>1622</v>
      </c>
      <c r="G188" s="963" t="s">
        <v>1622</v>
      </c>
      <c r="H188" s="964" t="s">
        <v>1670</v>
      </c>
      <c r="I188" s="964" t="s">
        <v>2483</v>
      </c>
    </row>
    <row r="189" spans="1:9" ht="64.5" thickBot="1" x14ac:dyDescent="0.25">
      <c r="A189" s="966" t="s">
        <v>1813</v>
      </c>
      <c r="B189" s="954" t="s">
        <v>2204</v>
      </c>
      <c r="C189" s="952" t="s">
        <v>2352</v>
      </c>
      <c r="D189" s="965" t="s">
        <v>2353</v>
      </c>
      <c r="E189" s="962" t="s">
        <v>2354</v>
      </c>
      <c r="F189" s="963" t="s">
        <v>1622</v>
      </c>
      <c r="G189" s="963" t="s">
        <v>1622</v>
      </c>
      <c r="H189" s="964" t="s">
        <v>1670</v>
      </c>
      <c r="I189" s="964" t="s">
        <v>2483</v>
      </c>
    </row>
    <row r="190" spans="1:9" ht="51.75" thickBot="1" x14ac:dyDescent="0.25">
      <c r="A190" s="966" t="s">
        <v>1813</v>
      </c>
      <c r="B190" s="954" t="s">
        <v>2204</v>
      </c>
      <c r="C190" s="952" t="s">
        <v>2355</v>
      </c>
      <c r="D190" s="965" t="s">
        <v>2356</v>
      </c>
      <c r="E190" s="962" t="s">
        <v>2357</v>
      </c>
      <c r="F190" s="963" t="s">
        <v>1622</v>
      </c>
      <c r="G190" s="963" t="s">
        <v>1666</v>
      </c>
      <c r="H190" s="964" t="s">
        <v>1670</v>
      </c>
      <c r="I190" s="964" t="s">
        <v>2483</v>
      </c>
    </row>
    <row r="191" spans="1:9" ht="39" thickBot="1" x14ac:dyDescent="0.25">
      <c r="A191" s="966" t="s">
        <v>1813</v>
      </c>
      <c r="B191" s="954" t="s">
        <v>2358</v>
      </c>
      <c r="C191" s="955" t="s">
        <v>2359</v>
      </c>
      <c r="D191" s="956"/>
      <c r="E191" s="957"/>
      <c r="F191" s="958" t="s">
        <v>657</v>
      </c>
      <c r="G191" s="958" t="s">
        <v>657</v>
      </c>
      <c r="H191" s="959"/>
      <c r="I191" s="960"/>
    </row>
    <row r="192" spans="1:9" ht="39" thickBot="1" x14ac:dyDescent="0.25">
      <c r="A192" s="966" t="s">
        <v>1813</v>
      </c>
      <c r="B192" s="954" t="s">
        <v>2358</v>
      </c>
      <c r="C192" s="952" t="s">
        <v>2360</v>
      </c>
      <c r="D192" s="961" t="s">
        <v>1620</v>
      </c>
      <c r="E192" s="962" t="s">
        <v>1888</v>
      </c>
      <c r="F192" s="963" t="s">
        <v>1622</v>
      </c>
      <c r="G192" s="963" t="s">
        <v>1622</v>
      </c>
      <c r="H192" s="964" t="s">
        <v>1623</v>
      </c>
      <c r="I192" s="971" t="str">
        <f>I3</f>
        <v>969500Z05GRNU3KPEY94</v>
      </c>
    </row>
    <row r="193" spans="1:9" ht="39" thickBot="1" x14ac:dyDescent="0.25">
      <c r="A193" s="966" t="s">
        <v>1813</v>
      </c>
      <c r="B193" s="954" t="s">
        <v>2358</v>
      </c>
      <c r="C193" s="952" t="s">
        <v>2361</v>
      </c>
      <c r="D193" s="965" t="s">
        <v>2208</v>
      </c>
      <c r="E193" s="962" t="s">
        <v>2362</v>
      </c>
      <c r="F193" s="963" t="s">
        <v>1622</v>
      </c>
      <c r="G193" s="963" t="s">
        <v>1622</v>
      </c>
      <c r="H193" s="964" t="s">
        <v>1768</v>
      </c>
      <c r="I193" s="971" t="str">
        <f>I140</f>
        <v>2138008864ADTHGQP554</v>
      </c>
    </row>
    <row r="194" spans="1:9" ht="39" thickBot="1" x14ac:dyDescent="0.25">
      <c r="A194" s="966" t="s">
        <v>1813</v>
      </c>
      <c r="B194" s="954" t="s">
        <v>2358</v>
      </c>
      <c r="C194" s="952" t="s">
        <v>2363</v>
      </c>
      <c r="D194" s="965" t="s">
        <v>2364</v>
      </c>
      <c r="E194" s="962" t="s">
        <v>2365</v>
      </c>
      <c r="F194" s="963" t="s">
        <v>1622</v>
      </c>
      <c r="G194" s="963" t="s">
        <v>1622</v>
      </c>
      <c r="H194" s="964" t="s">
        <v>1768</v>
      </c>
      <c r="I194" s="964" t="s">
        <v>2506</v>
      </c>
    </row>
    <row r="195" spans="1:9" ht="39" thickBot="1" x14ac:dyDescent="0.25">
      <c r="A195" s="966" t="s">
        <v>1813</v>
      </c>
      <c r="B195" s="954" t="s">
        <v>2358</v>
      </c>
      <c r="C195" s="952" t="s">
        <v>2366</v>
      </c>
      <c r="D195" s="961" t="s">
        <v>2367</v>
      </c>
      <c r="E195" s="962" t="s">
        <v>2368</v>
      </c>
      <c r="F195" s="963" t="s">
        <v>1622</v>
      </c>
      <c r="G195" s="963" t="s">
        <v>1622</v>
      </c>
      <c r="H195" s="964" t="s">
        <v>1768</v>
      </c>
      <c r="I195" s="964" t="str">
        <f>I194</f>
        <v>Cash_Reserve</v>
      </c>
    </row>
    <row r="196" spans="1:9" ht="39" thickBot="1" x14ac:dyDescent="0.25">
      <c r="A196" s="966" t="s">
        <v>1813</v>
      </c>
      <c r="B196" s="954" t="s">
        <v>2358</v>
      </c>
      <c r="C196" s="952" t="s">
        <v>2369</v>
      </c>
      <c r="D196" s="965" t="s">
        <v>2370</v>
      </c>
      <c r="E196" s="962" t="s">
        <v>2371</v>
      </c>
      <c r="F196" s="963" t="s">
        <v>1622</v>
      </c>
      <c r="G196" s="963" t="s">
        <v>1666</v>
      </c>
      <c r="H196" s="964" t="s">
        <v>1898</v>
      </c>
      <c r="I196" s="964" t="s">
        <v>2424</v>
      </c>
    </row>
    <row r="197" spans="1:9" ht="141" thickBot="1" x14ac:dyDescent="0.25">
      <c r="A197" s="966" t="s">
        <v>1813</v>
      </c>
      <c r="B197" s="954" t="s">
        <v>2358</v>
      </c>
      <c r="C197" s="952" t="s">
        <v>2372</v>
      </c>
      <c r="D197" s="965" t="s">
        <v>2373</v>
      </c>
      <c r="E197" s="962" t="s">
        <v>2374</v>
      </c>
      <c r="F197" s="963" t="s">
        <v>1622</v>
      </c>
      <c r="G197" s="963" t="s">
        <v>1622</v>
      </c>
      <c r="H197" s="964" t="s">
        <v>1649</v>
      </c>
      <c r="I197" s="964" t="s">
        <v>883</v>
      </c>
    </row>
    <row r="198" spans="1:9" ht="39" thickBot="1" x14ac:dyDescent="0.25">
      <c r="A198" s="966" t="s">
        <v>1813</v>
      </c>
      <c r="B198" s="954" t="s">
        <v>2358</v>
      </c>
      <c r="C198" s="952" t="s">
        <v>2375</v>
      </c>
      <c r="D198" s="965" t="s">
        <v>2376</v>
      </c>
      <c r="E198" s="962" t="s">
        <v>2377</v>
      </c>
      <c r="F198" s="963" t="s">
        <v>1622</v>
      </c>
      <c r="G198" s="963" t="s">
        <v>1666</v>
      </c>
      <c r="H198" s="964" t="s">
        <v>2008</v>
      </c>
      <c r="I198" s="964" t="s">
        <v>2424</v>
      </c>
    </row>
    <row r="199" spans="1:9" ht="39" thickBot="1" x14ac:dyDescent="0.25">
      <c r="A199" s="966" t="s">
        <v>1813</v>
      </c>
      <c r="B199" s="954" t="s">
        <v>2358</v>
      </c>
      <c r="C199" s="952" t="s">
        <v>2378</v>
      </c>
      <c r="D199" s="965" t="s">
        <v>2379</v>
      </c>
      <c r="E199" s="962" t="s">
        <v>2380</v>
      </c>
      <c r="F199" s="963" t="s">
        <v>1622</v>
      </c>
      <c r="G199" s="963" t="s">
        <v>1622</v>
      </c>
      <c r="H199" s="964" t="s">
        <v>2001</v>
      </c>
      <c r="I199" s="971" t="str">
        <f>I193</f>
        <v>2138008864ADTHGQP554</v>
      </c>
    </row>
    <row r="200" spans="1:9" ht="39" thickBot="1" x14ac:dyDescent="0.25">
      <c r="A200" s="966" t="s">
        <v>1813</v>
      </c>
      <c r="B200" s="954" t="s">
        <v>2358</v>
      </c>
      <c r="C200" s="952" t="s">
        <v>2381</v>
      </c>
      <c r="D200" s="965" t="s">
        <v>2382</v>
      </c>
      <c r="E200" s="962" t="s">
        <v>2383</v>
      </c>
      <c r="F200" s="963" t="s">
        <v>1622</v>
      </c>
      <c r="G200" s="963" t="s">
        <v>1622</v>
      </c>
      <c r="H200" s="964" t="s">
        <v>1659</v>
      </c>
      <c r="I200" s="964" t="s">
        <v>2422</v>
      </c>
    </row>
    <row r="201" spans="1:9" ht="39" thickBot="1" x14ac:dyDescent="0.25">
      <c r="A201" s="966" t="s">
        <v>1813</v>
      </c>
      <c r="B201" s="954" t="s">
        <v>2358</v>
      </c>
      <c r="C201" s="952" t="s">
        <v>2384</v>
      </c>
      <c r="D201" s="965" t="s">
        <v>2385</v>
      </c>
      <c r="E201" s="962" t="s">
        <v>2386</v>
      </c>
      <c r="F201" s="963" t="s">
        <v>1622</v>
      </c>
      <c r="G201" s="963" t="s">
        <v>1622</v>
      </c>
      <c r="H201" s="964" t="s">
        <v>1670</v>
      </c>
      <c r="I201" s="964" t="str">
        <f>L76</f>
        <v>9 507 056,72 EUR</v>
      </c>
    </row>
    <row r="202" spans="1:9" ht="39" thickBot="1" x14ac:dyDescent="0.25">
      <c r="A202" s="966" t="s">
        <v>1813</v>
      </c>
      <c r="B202" s="954" t="s">
        <v>2358</v>
      </c>
      <c r="C202" s="952" t="s">
        <v>2387</v>
      </c>
      <c r="D202" s="965" t="s">
        <v>2388</v>
      </c>
      <c r="E202" s="962" t="s">
        <v>2389</v>
      </c>
      <c r="F202" s="963" t="s">
        <v>1622</v>
      </c>
      <c r="G202" s="963" t="s">
        <v>1622</v>
      </c>
      <c r="H202" s="964" t="s">
        <v>1872</v>
      </c>
      <c r="I202" s="964" t="s">
        <v>687</v>
      </c>
    </row>
    <row r="203" spans="1:9" ht="39" thickBot="1" x14ac:dyDescent="0.25">
      <c r="A203" s="966" t="s">
        <v>1813</v>
      </c>
      <c r="B203" s="954" t="s">
        <v>2358</v>
      </c>
      <c r="C203" s="952" t="s">
        <v>2390</v>
      </c>
      <c r="D203" s="965" t="s">
        <v>2391</v>
      </c>
      <c r="E203" s="962" t="s">
        <v>2392</v>
      </c>
      <c r="F203" s="963" t="s">
        <v>1622</v>
      </c>
      <c r="G203" s="963" t="s">
        <v>1666</v>
      </c>
      <c r="H203" s="964" t="s">
        <v>1627</v>
      </c>
      <c r="I203" s="964" t="s">
        <v>2424</v>
      </c>
    </row>
    <row r="204" spans="1:9" ht="39" thickBot="1" x14ac:dyDescent="0.25">
      <c r="A204" s="966" t="s">
        <v>1813</v>
      </c>
      <c r="B204" s="954" t="s">
        <v>2358</v>
      </c>
      <c r="C204" s="952" t="s">
        <v>2393</v>
      </c>
      <c r="D204" s="965" t="s">
        <v>2394</v>
      </c>
      <c r="E204" s="962" t="s">
        <v>2395</v>
      </c>
      <c r="F204" s="963" t="s">
        <v>1622</v>
      </c>
      <c r="G204" s="963" t="s">
        <v>1666</v>
      </c>
      <c r="H204" s="964" t="s">
        <v>1692</v>
      </c>
      <c r="I204" s="964" t="s">
        <v>2424</v>
      </c>
    </row>
    <row r="205" spans="1:9" ht="409.6" thickBot="1" x14ac:dyDescent="0.25">
      <c r="A205" s="966" t="s">
        <v>1813</v>
      </c>
      <c r="B205" s="954" t="s">
        <v>2358</v>
      </c>
      <c r="C205" s="952" t="s">
        <v>2396</v>
      </c>
      <c r="D205" s="961" t="s">
        <v>1944</v>
      </c>
      <c r="E205" s="962" t="s">
        <v>1945</v>
      </c>
      <c r="F205" s="963" t="s">
        <v>1622</v>
      </c>
      <c r="G205" s="963" t="s">
        <v>1666</v>
      </c>
      <c r="H205" s="964" t="s">
        <v>1649</v>
      </c>
      <c r="I205" s="964" t="s">
        <v>2424</v>
      </c>
    </row>
    <row r="206" spans="1:9" ht="204.75" thickBot="1" x14ac:dyDescent="0.25">
      <c r="A206" s="966" t="s">
        <v>1813</v>
      </c>
      <c r="B206" s="954" t="s">
        <v>2358</v>
      </c>
      <c r="C206" s="952" t="s">
        <v>2397</v>
      </c>
      <c r="D206" s="961" t="s">
        <v>1947</v>
      </c>
      <c r="E206" s="962" t="s">
        <v>1948</v>
      </c>
      <c r="F206" s="963" t="s">
        <v>1622</v>
      </c>
      <c r="G206" s="963" t="s">
        <v>1666</v>
      </c>
      <c r="H206" s="964" t="s">
        <v>1649</v>
      </c>
      <c r="I206" s="964" t="s">
        <v>2424</v>
      </c>
    </row>
    <row r="207" spans="1:9" ht="39" thickBot="1" x14ac:dyDescent="0.25">
      <c r="A207" s="966" t="s">
        <v>1813</v>
      </c>
      <c r="B207" s="954" t="s">
        <v>2358</v>
      </c>
      <c r="C207" s="952" t="s">
        <v>2398</v>
      </c>
      <c r="D207" s="965" t="s">
        <v>2399</v>
      </c>
      <c r="E207" s="962" t="s">
        <v>2400</v>
      </c>
      <c r="F207" s="963" t="s">
        <v>1622</v>
      </c>
      <c r="G207" s="963" t="s">
        <v>1666</v>
      </c>
      <c r="H207" s="964" t="s">
        <v>1692</v>
      </c>
      <c r="I207" s="964" t="s">
        <v>2424</v>
      </c>
    </row>
    <row r="208" spans="1:9" ht="39" thickBot="1" x14ac:dyDescent="0.25">
      <c r="A208" s="966" t="s">
        <v>1813</v>
      </c>
      <c r="B208" s="954" t="s">
        <v>2358</v>
      </c>
      <c r="C208" s="952" t="s">
        <v>2401</v>
      </c>
      <c r="D208" s="965" t="s">
        <v>2402</v>
      </c>
      <c r="E208" s="962" t="s">
        <v>2403</v>
      </c>
      <c r="F208" s="963" t="s">
        <v>1622</v>
      </c>
      <c r="G208" s="963" t="s">
        <v>1666</v>
      </c>
      <c r="H208" s="964" t="s">
        <v>1631</v>
      </c>
      <c r="I208" s="964" t="s">
        <v>2424</v>
      </c>
    </row>
    <row r="209" spans="1:9" ht="39" thickBot="1" x14ac:dyDescent="0.25">
      <c r="A209" s="966" t="s">
        <v>1813</v>
      </c>
      <c r="B209" s="954" t="s">
        <v>2358</v>
      </c>
      <c r="C209" s="952" t="s">
        <v>2404</v>
      </c>
      <c r="D209" s="965" t="s">
        <v>2405</v>
      </c>
      <c r="E209" s="962" t="s">
        <v>2406</v>
      </c>
      <c r="F209" s="963" t="s">
        <v>1622</v>
      </c>
      <c r="G209" s="963" t="s">
        <v>1666</v>
      </c>
      <c r="H209" s="964" t="s">
        <v>2001</v>
      </c>
      <c r="I209" s="964" t="s">
        <v>2424</v>
      </c>
    </row>
    <row r="210" spans="1:9" ht="39" thickBot="1" x14ac:dyDescent="0.25">
      <c r="A210" s="966" t="s">
        <v>1813</v>
      </c>
      <c r="B210" s="954" t="s">
        <v>2358</v>
      </c>
      <c r="C210" s="952" t="s">
        <v>2407</v>
      </c>
      <c r="D210" s="965" t="s">
        <v>2408</v>
      </c>
      <c r="E210" s="962" t="s">
        <v>2409</v>
      </c>
      <c r="F210" s="963" t="s">
        <v>1622</v>
      </c>
      <c r="G210" s="963" t="s">
        <v>1666</v>
      </c>
      <c r="H210" s="964" t="s">
        <v>1627</v>
      </c>
      <c r="I210" s="964" t="s">
        <v>2424</v>
      </c>
    </row>
    <row r="211" spans="1:9" ht="39" thickBot="1" x14ac:dyDescent="0.25">
      <c r="A211" s="966" t="s">
        <v>1813</v>
      </c>
      <c r="B211" s="954" t="s">
        <v>2410</v>
      </c>
      <c r="C211" s="955" t="s">
        <v>2410</v>
      </c>
      <c r="D211" s="956"/>
      <c r="E211" s="957"/>
      <c r="F211" s="958" t="s">
        <v>657</v>
      </c>
      <c r="G211" s="958" t="s">
        <v>657</v>
      </c>
      <c r="H211" s="959"/>
      <c r="I211" s="960"/>
    </row>
    <row r="212" spans="1:9" ht="39" thickBot="1" x14ac:dyDescent="0.25">
      <c r="A212" s="966" t="s">
        <v>1813</v>
      </c>
      <c r="B212" s="954" t="s">
        <v>2410</v>
      </c>
      <c r="C212" s="952" t="s">
        <v>2411</v>
      </c>
      <c r="D212" s="961" t="s">
        <v>1620</v>
      </c>
      <c r="E212" s="962" t="s">
        <v>2412</v>
      </c>
      <c r="F212" s="963" t="s">
        <v>1622</v>
      </c>
      <c r="G212" s="963" t="s">
        <v>1622</v>
      </c>
      <c r="H212" s="964" t="s">
        <v>1623</v>
      </c>
      <c r="I212" s="971" t="str">
        <f>I3</f>
        <v>969500Z05GRNU3KPEY94</v>
      </c>
    </row>
    <row r="213" spans="1:9" ht="39" thickBot="1" x14ac:dyDescent="0.25">
      <c r="A213" s="966" t="s">
        <v>1813</v>
      </c>
      <c r="B213" s="954" t="s">
        <v>2410</v>
      </c>
      <c r="C213" s="952" t="s">
        <v>2413</v>
      </c>
      <c r="D213" s="965" t="s">
        <v>2414</v>
      </c>
      <c r="E213" s="962" t="s">
        <v>2415</v>
      </c>
      <c r="F213" s="963" t="s">
        <v>1622</v>
      </c>
      <c r="G213" s="963" t="s">
        <v>1622</v>
      </c>
      <c r="H213" s="964" t="s">
        <v>1789</v>
      </c>
      <c r="I213" s="964">
        <v>0</v>
      </c>
    </row>
    <row r="214" spans="1:9" ht="39" thickBot="1" x14ac:dyDescent="0.25">
      <c r="A214" s="966" t="s">
        <v>1813</v>
      </c>
      <c r="B214" s="954" t="s">
        <v>2410</v>
      </c>
      <c r="C214" s="952" t="s">
        <v>2416</v>
      </c>
      <c r="D214" s="965" t="s">
        <v>2417</v>
      </c>
      <c r="E214" s="962" t="s">
        <v>2418</v>
      </c>
      <c r="F214" s="963" t="s">
        <v>1622</v>
      </c>
      <c r="G214" s="963" t="s">
        <v>1622</v>
      </c>
      <c r="H214" s="964" t="s">
        <v>1768</v>
      </c>
      <c r="I214" s="964">
        <v>0</v>
      </c>
    </row>
  </sheetData>
  <phoneticPr fontId="111"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5F06-DF30-4839-AA35-F900215C6572}">
  <sheetPr codeName="Sheet16">
    <tabColor theme="6" tint="-0.249977111117893"/>
  </sheetPr>
  <dimension ref="C3:O110"/>
  <sheetViews>
    <sheetView workbookViewId="0"/>
  </sheetViews>
  <sheetFormatPr defaultColWidth="11.42578125" defaultRowHeight="12.75" x14ac:dyDescent="0.2"/>
  <cols>
    <col min="1" max="1" width="3.5703125" style="26" customWidth="1"/>
    <col min="2" max="2" width="2.42578125" style="26" customWidth="1"/>
    <col min="3" max="6" width="20.42578125" style="26" customWidth="1"/>
    <col min="7" max="7" width="42.5703125" style="26" customWidth="1"/>
    <col min="8" max="9" width="20.42578125" style="26" customWidth="1"/>
    <col min="10" max="10" width="2.42578125" style="26" customWidth="1"/>
    <col min="11" max="11" width="20.85546875" style="26" customWidth="1"/>
    <col min="12" max="12" width="18.140625" style="26" bestFit="1" customWidth="1"/>
    <col min="13" max="13" width="19.85546875" style="26" customWidth="1"/>
    <col min="14" max="248" width="11.42578125" style="26"/>
    <col min="249" max="249" width="2.42578125" style="26" customWidth="1"/>
    <col min="250" max="250" width="49" style="26" customWidth="1"/>
    <col min="251" max="251" width="16.85546875" style="26" customWidth="1"/>
    <col min="252" max="252" width="1.140625" style="26" customWidth="1"/>
    <col min="253" max="253" width="20.5703125" style="26" customWidth="1"/>
    <col min="254" max="254" width="17.5703125" style="26" customWidth="1"/>
    <col min="255" max="255" width="18.140625" style="26" customWidth="1"/>
    <col min="256" max="256" width="17.140625" style="26" customWidth="1"/>
    <col min="257" max="257" width="22.42578125" style="26" bestFit="1" customWidth="1"/>
    <col min="258" max="258" width="22.140625" style="26" customWidth="1"/>
    <col min="259" max="259" width="17.85546875" style="26" customWidth="1"/>
    <col min="260" max="260" width="22.42578125" style="26" customWidth="1"/>
    <col min="261" max="261" width="10.140625" style="26" bestFit="1" customWidth="1"/>
    <col min="262" max="262" width="13.42578125" style="26" customWidth="1"/>
    <col min="263" max="263" width="7.42578125" style="26" bestFit="1" customWidth="1"/>
    <col min="264" max="264" width="15.42578125" style="26" bestFit="1" customWidth="1"/>
    <col min="265" max="265" width="7.42578125" style="26" bestFit="1" customWidth="1"/>
    <col min="266" max="266" width="19.5703125" style="26" bestFit="1" customWidth="1"/>
    <col min="267" max="267" width="7.42578125" style="26" bestFit="1" customWidth="1"/>
    <col min="268" max="268" width="26.85546875" style="26" bestFit="1" customWidth="1"/>
    <col min="269" max="269" width="19.85546875" style="26" bestFit="1" customWidth="1"/>
    <col min="270" max="504" width="11.42578125" style="26"/>
    <col min="505" max="505" width="2.42578125" style="26" customWidth="1"/>
    <col min="506" max="506" width="49" style="26" customWidth="1"/>
    <col min="507" max="507" width="16.85546875" style="26" customWidth="1"/>
    <col min="508" max="508" width="1.140625" style="26" customWidth="1"/>
    <col min="509" max="509" width="20.5703125" style="26" customWidth="1"/>
    <col min="510" max="510" width="17.5703125" style="26" customWidth="1"/>
    <col min="511" max="511" width="18.140625" style="26" customWidth="1"/>
    <col min="512" max="512" width="17.140625" style="26" customWidth="1"/>
    <col min="513" max="513" width="22.42578125" style="26" bestFit="1" customWidth="1"/>
    <col min="514" max="514" width="22.140625" style="26" customWidth="1"/>
    <col min="515" max="515" width="17.85546875" style="26" customWidth="1"/>
    <col min="516" max="516" width="22.42578125" style="26" customWidth="1"/>
    <col min="517" max="517" width="10.140625" style="26" bestFit="1" customWidth="1"/>
    <col min="518" max="518" width="13.42578125" style="26" customWidth="1"/>
    <col min="519" max="519" width="7.42578125" style="26" bestFit="1" customWidth="1"/>
    <col min="520" max="520" width="15.42578125" style="26" bestFit="1" customWidth="1"/>
    <col min="521" max="521" width="7.42578125" style="26" bestFit="1" customWidth="1"/>
    <col min="522" max="522" width="19.5703125" style="26" bestFit="1" customWidth="1"/>
    <col min="523" max="523" width="7.42578125" style="26" bestFit="1" customWidth="1"/>
    <col min="524" max="524" width="26.85546875" style="26" bestFit="1" customWidth="1"/>
    <col min="525" max="525" width="19.85546875" style="26" bestFit="1" customWidth="1"/>
    <col min="526" max="760" width="11.42578125" style="26"/>
    <col min="761" max="761" width="2.42578125" style="26" customWidth="1"/>
    <col min="762" max="762" width="49" style="26" customWidth="1"/>
    <col min="763" max="763" width="16.85546875" style="26" customWidth="1"/>
    <col min="764" max="764" width="1.140625" style="26" customWidth="1"/>
    <col min="765" max="765" width="20.5703125" style="26" customWidth="1"/>
    <col min="766" max="766" width="17.5703125" style="26" customWidth="1"/>
    <col min="767" max="767" width="18.140625" style="26" customWidth="1"/>
    <col min="768" max="768" width="17.140625" style="26" customWidth="1"/>
    <col min="769" max="769" width="22.42578125" style="26" bestFit="1" customWidth="1"/>
    <col min="770" max="770" width="22.140625" style="26" customWidth="1"/>
    <col min="771" max="771" width="17.85546875" style="26" customWidth="1"/>
    <col min="772" max="772" width="22.42578125" style="26" customWidth="1"/>
    <col min="773" max="773" width="10.140625" style="26" bestFit="1" customWidth="1"/>
    <col min="774" max="774" width="13.42578125" style="26" customWidth="1"/>
    <col min="775" max="775" width="7.42578125" style="26" bestFit="1" customWidth="1"/>
    <col min="776" max="776" width="15.42578125" style="26" bestFit="1" customWidth="1"/>
    <col min="777" max="777" width="7.42578125" style="26" bestFit="1" customWidth="1"/>
    <col min="778" max="778" width="19.5703125" style="26" bestFit="1" customWidth="1"/>
    <col min="779" max="779" width="7.42578125" style="26" bestFit="1" customWidth="1"/>
    <col min="780" max="780" width="26.85546875" style="26" bestFit="1" customWidth="1"/>
    <col min="781" max="781" width="19.85546875" style="26" bestFit="1" customWidth="1"/>
    <col min="782" max="1016" width="11.42578125" style="26"/>
    <col min="1017" max="1017" width="2.42578125" style="26" customWidth="1"/>
    <col min="1018" max="1018" width="49" style="26" customWidth="1"/>
    <col min="1019" max="1019" width="16.85546875" style="26" customWidth="1"/>
    <col min="1020" max="1020" width="1.140625" style="26" customWidth="1"/>
    <col min="1021" max="1021" width="20.5703125" style="26" customWidth="1"/>
    <col min="1022" max="1022" width="17.5703125" style="26" customWidth="1"/>
    <col min="1023" max="1023" width="18.140625" style="26" customWidth="1"/>
    <col min="1024" max="1024" width="17.140625" style="26" customWidth="1"/>
    <col min="1025" max="1025" width="22.42578125" style="26" bestFit="1" customWidth="1"/>
    <col min="1026" max="1026" width="22.140625" style="26" customWidth="1"/>
    <col min="1027" max="1027" width="17.85546875" style="26" customWidth="1"/>
    <col min="1028" max="1028" width="22.42578125" style="26" customWidth="1"/>
    <col min="1029" max="1029" width="10.140625" style="26" bestFit="1" customWidth="1"/>
    <col min="1030" max="1030" width="13.42578125" style="26" customWidth="1"/>
    <col min="1031" max="1031" width="7.42578125" style="26" bestFit="1" customWidth="1"/>
    <col min="1032" max="1032" width="15.42578125" style="26" bestFit="1" customWidth="1"/>
    <col min="1033" max="1033" width="7.42578125" style="26" bestFit="1" customWidth="1"/>
    <col min="1034" max="1034" width="19.5703125" style="26" bestFit="1" customWidth="1"/>
    <col min="1035" max="1035" width="7.42578125" style="26" bestFit="1" customWidth="1"/>
    <col min="1036" max="1036" width="26.85546875" style="26" bestFit="1" customWidth="1"/>
    <col min="1037" max="1037" width="19.85546875" style="26" bestFit="1" customWidth="1"/>
    <col min="1038" max="1272" width="11.42578125" style="26"/>
    <col min="1273" max="1273" width="2.42578125" style="26" customWidth="1"/>
    <col min="1274" max="1274" width="49" style="26" customWidth="1"/>
    <col min="1275" max="1275" width="16.85546875" style="26" customWidth="1"/>
    <col min="1276" max="1276" width="1.140625" style="26" customWidth="1"/>
    <col min="1277" max="1277" width="20.5703125" style="26" customWidth="1"/>
    <col min="1278" max="1278" width="17.5703125" style="26" customWidth="1"/>
    <col min="1279" max="1279" width="18.140625" style="26" customWidth="1"/>
    <col min="1280" max="1280" width="17.140625" style="26" customWidth="1"/>
    <col min="1281" max="1281" width="22.42578125" style="26" bestFit="1" customWidth="1"/>
    <col min="1282" max="1282" width="22.140625" style="26" customWidth="1"/>
    <col min="1283" max="1283" width="17.85546875" style="26" customWidth="1"/>
    <col min="1284" max="1284" width="22.42578125" style="26" customWidth="1"/>
    <col min="1285" max="1285" width="10.140625" style="26" bestFit="1" customWidth="1"/>
    <col min="1286" max="1286" width="13.42578125" style="26" customWidth="1"/>
    <col min="1287" max="1287" width="7.42578125" style="26" bestFit="1" customWidth="1"/>
    <col min="1288" max="1288" width="15.42578125" style="26" bestFit="1" customWidth="1"/>
    <col min="1289" max="1289" width="7.42578125" style="26" bestFit="1" customWidth="1"/>
    <col min="1290" max="1290" width="19.5703125" style="26" bestFit="1" customWidth="1"/>
    <col min="1291" max="1291" width="7.42578125" style="26" bestFit="1" customWidth="1"/>
    <col min="1292" max="1292" width="26.85546875" style="26" bestFit="1" customWidth="1"/>
    <col min="1293" max="1293" width="19.85546875" style="26" bestFit="1" customWidth="1"/>
    <col min="1294" max="1528" width="11.42578125" style="26"/>
    <col min="1529" max="1529" width="2.42578125" style="26" customWidth="1"/>
    <col min="1530" max="1530" width="49" style="26" customWidth="1"/>
    <col min="1531" max="1531" width="16.85546875" style="26" customWidth="1"/>
    <col min="1532" max="1532" width="1.140625" style="26" customWidth="1"/>
    <col min="1533" max="1533" width="20.5703125" style="26" customWidth="1"/>
    <col min="1534" max="1534" width="17.5703125" style="26" customWidth="1"/>
    <col min="1535" max="1535" width="18.140625" style="26" customWidth="1"/>
    <col min="1536" max="1536" width="17.140625" style="26" customWidth="1"/>
    <col min="1537" max="1537" width="22.42578125" style="26" bestFit="1" customWidth="1"/>
    <col min="1538" max="1538" width="22.140625" style="26" customWidth="1"/>
    <col min="1539" max="1539" width="17.85546875" style="26" customWidth="1"/>
    <col min="1540" max="1540" width="22.42578125" style="26" customWidth="1"/>
    <col min="1541" max="1541" width="10.140625" style="26" bestFit="1" customWidth="1"/>
    <col min="1542" max="1542" width="13.42578125" style="26" customWidth="1"/>
    <col min="1543" max="1543" width="7.42578125" style="26" bestFit="1" customWidth="1"/>
    <col min="1544" max="1544" width="15.42578125" style="26" bestFit="1" customWidth="1"/>
    <col min="1545" max="1545" width="7.42578125" style="26" bestFit="1" customWidth="1"/>
    <col min="1546" max="1546" width="19.5703125" style="26" bestFit="1" customWidth="1"/>
    <col min="1547" max="1547" width="7.42578125" style="26" bestFit="1" customWidth="1"/>
    <col min="1548" max="1548" width="26.85546875" style="26" bestFit="1" customWidth="1"/>
    <col min="1549" max="1549" width="19.85546875" style="26" bestFit="1" customWidth="1"/>
    <col min="1550" max="1784" width="11.42578125" style="26"/>
    <col min="1785" max="1785" width="2.42578125" style="26" customWidth="1"/>
    <col min="1786" max="1786" width="49" style="26" customWidth="1"/>
    <col min="1787" max="1787" width="16.85546875" style="26" customWidth="1"/>
    <col min="1788" max="1788" width="1.140625" style="26" customWidth="1"/>
    <col min="1789" max="1789" width="20.5703125" style="26" customWidth="1"/>
    <col min="1790" max="1790" width="17.5703125" style="26" customWidth="1"/>
    <col min="1791" max="1791" width="18.140625" style="26" customWidth="1"/>
    <col min="1792" max="1792" width="17.140625" style="26" customWidth="1"/>
    <col min="1793" max="1793" width="22.42578125" style="26" bestFit="1" customWidth="1"/>
    <col min="1794" max="1794" width="22.140625" style="26" customWidth="1"/>
    <col min="1795" max="1795" width="17.85546875" style="26" customWidth="1"/>
    <col min="1796" max="1796" width="22.42578125" style="26" customWidth="1"/>
    <col min="1797" max="1797" width="10.140625" style="26" bestFit="1" customWidth="1"/>
    <col min="1798" max="1798" width="13.42578125" style="26" customWidth="1"/>
    <col min="1799" max="1799" width="7.42578125" style="26" bestFit="1" customWidth="1"/>
    <col min="1800" max="1800" width="15.42578125" style="26" bestFit="1" customWidth="1"/>
    <col min="1801" max="1801" width="7.42578125" style="26" bestFit="1" customWidth="1"/>
    <col min="1802" max="1802" width="19.5703125" style="26" bestFit="1" customWidth="1"/>
    <col min="1803" max="1803" width="7.42578125" style="26" bestFit="1" customWidth="1"/>
    <col min="1804" max="1804" width="26.85546875" style="26" bestFit="1" customWidth="1"/>
    <col min="1805" max="1805" width="19.85546875" style="26" bestFit="1" customWidth="1"/>
    <col min="1806" max="2040" width="11.42578125" style="26"/>
    <col min="2041" max="2041" width="2.42578125" style="26" customWidth="1"/>
    <col min="2042" max="2042" width="49" style="26" customWidth="1"/>
    <col min="2043" max="2043" width="16.85546875" style="26" customWidth="1"/>
    <col min="2044" max="2044" width="1.140625" style="26" customWidth="1"/>
    <col min="2045" max="2045" width="20.5703125" style="26" customWidth="1"/>
    <col min="2046" max="2046" width="17.5703125" style="26" customWidth="1"/>
    <col min="2047" max="2047" width="18.140625" style="26" customWidth="1"/>
    <col min="2048" max="2048" width="17.140625" style="26" customWidth="1"/>
    <col min="2049" max="2049" width="22.42578125" style="26" bestFit="1" customWidth="1"/>
    <col min="2050" max="2050" width="22.140625" style="26" customWidth="1"/>
    <col min="2051" max="2051" width="17.85546875" style="26" customWidth="1"/>
    <col min="2052" max="2052" width="22.42578125" style="26" customWidth="1"/>
    <col min="2053" max="2053" width="10.140625" style="26" bestFit="1" customWidth="1"/>
    <col min="2054" max="2054" width="13.42578125" style="26" customWidth="1"/>
    <col min="2055" max="2055" width="7.42578125" style="26" bestFit="1" customWidth="1"/>
    <col min="2056" max="2056" width="15.42578125" style="26" bestFit="1" customWidth="1"/>
    <col min="2057" max="2057" width="7.42578125" style="26" bestFit="1" customWidth="1"/>
    <col min="2058" max="2058" width="19.5703125" style="26" bestFit="1" customWidth="1"/>
    <col min="2059" max="2059" width="7.42578125" style="26" bestFit="1" customWidth="1"/>
    <col min="2060" max="2060" width="26.85546875" style="26" bestFit="1" customWidth="1"/>
    <col min="2061" max="2061" width="19.85546875" style="26" bestFit="1" customWidth="1"/>
    <col min="2062" max="2296" width="11.42578125" style="26"/>
    <col min="2297" max="2297" width="2.42578125" style="26" customWidth="1"/>
    <col min="2298" max="2298" width="49" style="26" customWidth="1"/>
    <col min="2299" max="2299" width="16.85546875" style="26" customWidth="1"/>
    <col min="2300" max="2300" width="1.140625" style="26" customWidth="1"/>
    <col min="2301" max="2301" width="20.5703125" style="26" customWidth="1"/>
    <col min="2302" max="2302" width="17.5703125" style="26" customWidth="1"/>
    <col min="2303" max="2303" width="18.140625" style="26" customWidth="1"/>
    <col min="2304" max="2304" width="17.140625" style="26" customWidth="1"/>
    <col min="2305" max="2305" width="22.42578125" style="26" bestFit="1" customWidth="1"/>
    <col min="2306" max="2306" width="22.140625" style="26" customWidth="1"/>
    <col min="2307" max="2307" width="17.85546875" style="26" customWidth="1"/>
    <col min="2308" max="2308" width="22.42578125" style="26" customWidth="1"/>
    <col min="2309" max="2309" width="10.140625" style="26" bestFit="1" customWidth="1"/>
    <col min="2310" max="2310" width="13.42578125" style="26" customWidth="1"/>
    <col min="2311" max="2311" width="7.42578125" style="26" bestFit="1" customWidth="1"/>
    <col min="2312" max="2312" width="15.42578125" style="26" bestFit="1" customWidth="1"/>
    <col min="2313" max="2313" width="7.42578125" style="26" bestFit="1" customWidth="1"/>
    <col min="2314" max="2314" width="19.5703125" style="26" bestFit="1" customWidth="1"/>
    <col min="2315" max="2315" width="7.42578125" style="26" bestFit="1" customWidth="1"/>
    <col min="2316" max="2316" width="26.85546875" style="26" bestFit="1" customWidth="1"/>
    <col min="2317" max="2317" width="19.85546875" style="26" bestFit="1" customWidth="1"/>
    <col min="2318" max="2552" width="11.42578125" style="26"/>
    <col min="2553" max="2553" width="2.42578125" style="26" customWidth="1"/>
    <col min="2554" max="2554" width="49" style="26" customWidth="1"/>
    <col min="2555" max="2555" width="16.85546875" style="26" customWidth="1"/>
    <col min="2556" max="2556" width="1.140625" style="26" customWidth="1"/>
    <col min="2557" max="2557" width="20.5703125" style="26" customWidth="1"/>
    <col min="2558" max="2558" width="17.5703125" style="26" customWidth="1"/>
    <col min="2559" max="2559" width="18.140625" style="26" customWidth="1"/>
    <col min="2560" max="2560" width="17.140625" style="26" customWidth="1"/>
    <col min="2561" max="2561" width="22.42578125" style="26" bestFit="1" customWidth="1"/>
    <col min="2562" max="2562" width="22.140625" style="26" customWidth="1"/>
    <col min="2563" max="2563" width="17.85546875" style="26" customWidth="1"/>
    <col min="2564" max="2564" width="22.42578125" style="26" customWidth="1"/>
    <col min="2565" max="2565" width="10.140625" style="26" bestFit="1" customWidth="1"/>
    <col min="2566" max="2566" width="13.42578125" style="26" customWidth="1"/>
    <col min="2567" max="2567" width="7.42578125" style="26" bestFit="1" customWidth="1"/>
    <col min="2568" max="2568" width="15.42578125" style="26" bestFit="1" customWidth="1"/>
    <col min="2569" max="2569" width="7.42578125" style="26" bestFit="1" customWidth="1"/>
    <col min="2570" max="2570" width="19.5703125" style="26" bestFit="1" customWidth="1"/>
    <col min="2571" max="2571" width="7.42578125" style="26" bestFit="1" customWidth="1"/>
    <col min="2572" max="2572" width="26.85546875" style="26" bestFit="1" customWidth="1"/>
    <col min="2573" max="2573" width="19.85546875" style="26" bestFit="1" customWidth="1"/>
    <col min="2574" max="2808" width="11.42578125" style="26"/>
    <col min="2809" max="2809" width="2.42578125" style="26" customWidth="1"/>
    <col min="2810" max="2810" width="49" style="26" customWidth="1"/>
    <col min="2811" max="2811" width="16.85546875" style="26" customWidth="1"/>
    <col min="2812" max="2812" width="1.140625" style="26" customWidth="1"/>
    <col min="2813" max="2813" width="20.5703125" style="26" customWidth="1"/>
    <col min="2814" max="2814" width="17.5703125" style="26" customWidth="1"/>
    <col min="2815" max="2815" width="18.140625" style="26" customWidth="1"/>
    <col min="2816" max="2816" width="17.140625" style="26" customWidth="1"/>
    <col min="2817" max="2817" width="22.42578125" style="26" bestFit="1" customWidth="1"/>
    <col min="2818" max="2818" width="22.140625" style="26" customWidth="1"/>
    <col min="2819" max="2819" width="17.85546875" style="26" customWidth="1"/>
    <col min="2820" max="2820" width="22.42578125" style="26" customWidth="1"/>
    <col min="2821" max="2821" width="10.140625" style="26" bestFit="1" customWidth="1"/>
    <col min="2822" max="2822" width="13.42578125" style="26" customWidth="1"/>
    <col min="2823" max="2823" width="7.42578125" style="26" bestFit="1" customWidth="1"/>
    <col min="2824" max="2824" width="15.42578125" style="26" bestFit="1" customWidth="1"/>
    <col min="2825" max="2825" width="7.42578125" style="26" bestFit="1" customWidth="1"/>
    <col min="2826" max="2826" width="19.5703125" style="26" bestFit="1" customWidth="1"/>
    <col min="2827" max="2827" width="7.42578125" style="26" bestFit="1" customWidth="1"/>
    <col min="2828" max="2828" width="26.85546875" style="26" bestFit="1" customWidth="1"/>
    <col min="2829" max="2829" width="19.85546875" style="26" bestFit="1" customWidth="1"/>
    <col min="2830" max="3064" width="11.42578125" style="26"/>
    <col min="3065" max="3065" width="2.42578125" style="26" customWidth="1"/>
    <col min="3066" max="3066" width="49" style="26" customWidth="1"/>
    <col min="3067" max="3067" width="16.85546875" style="26" customWidth="1"/>
    <col min="3068" max="3068" width="1.140625" style="26" customWidth="1"/>
    <col min="3069" max="3069" width="20.5703125" style="26" customWidth="1"/>
    <col min="3070" max="3070" width="17.5703125" style="26" customWidth="1"/>
    <col min="3071" max="3071" width="18.140625" style="26" customWidth="1"/>
    <col min="3072" max="3072" width="17.140625" style="26" customWidth="1"/>
    <col min="3073" max="3073" width="22.42578125" style="26" bestFit="1" customWidth="1"/>
    <col min="3074" max="3074" width="22.140625" style="26" customWidth="1"/>
    <col min="3075" max="3075" width="17.85546875" style="26" customWidth="1"/>
    <col min="3076" max="3076" width="22.42578125" style="26" customWidth="1"/>
    <col min="3077" max="3077" width="10.140625" style="26" bestFit="1" customWidth="1"/>
    <col min="3078" max="3078" width="13.42578125" style="26" customWidth="1"/>
    <col min="3079" max="3079" width="7.42578125" style="26" bestFit="1" customWidth="1"/>
    <col min="3080" max="3080" width="15.42578125" style="26" bestFit="1" customWidth="1"/>
    <col min="3081" max="3081" width="7.42578125" style="26" bestFit="1" customWidth="1"/>
    <col min="3082" max="3082" width="19.5703125" style="26" bestFit="1" customWidth="1"/>
    <col min="3083" max="3083" width="7.42578125" style="26" bestFit="1" customWidth="1"/>
    <col min="3084" max="3084" width="26.85546875" style="26" bestFit="1" customWidth="1"/>
    <col min="3085" max="3085" width="19.85546875" style="26" bestFit="1" customWidth="1"/>
    <col min="3086" max="3320" width="11.42578125" style="26"/>
    <col min="3321" max="3321" width="2.42578125" style="26" customWidth="1"/>
    <col min="3322" max="3322" width="49" style="26" customWidth="1"/>
    <col min="3323" max="3323" width="16.85546875" style="26" customWidth="1"/>
    <col min="3324" max="3324" width="1.140625" style="26" customWidth="1"/>
    <col min="3325" max="3325" width="20.5703125" style="26" customWidth="1"/>
    <col min="3326" max="3326" width="17.5703125" style="26" customWidth="1"/>
    <col min="3327" max="3327" width="18.140625" style="26" customWidth="1"/>
    <col min="3328" max="3328" width="17.140625" style="26" customWidth="1"/>
    <col min="3329" max="3329" width="22.42578125" style="26" bestFit="1" customWidth="1"/>
    <col min="3330" max="3330" width="22.140625" style="26" customWidth="1"/>
    <col min="3331" max="3331" width="17.85546875" style="26" customWidth="1"/>
    <col min="3332" max="3332" width="22.42578125" style="26" customWidth="1"/>
    <col min="3333" max="3333" width="10.140625" style="26" bestFit="1" customWidth="1"/>
    <col min="3334" max="3334" width="13.42578125" style="26" customWidth="1"/>
    <col min="3335" max="3335" width="7.42578125" style="26" bestFit="1" customWidth="1"/>
    <col min="3336" max="3336" width="15.42578125" style="26" bestFit="1" customWidth="1"/>
    <col min="3337" max="3337" width="7.42578125" style="26" bestFit="1" customWidth="1"/>
    <col min="3338" max="3338" width="19.5703125" style="26" bestFit="1" customWidth="1"/>
    <col min="3339" max="3339" width="7.42578125" style="26" bestFit="1" customWidth="1"/>
    <col min="3340" max="3340" width="26.85546875" style="26" bestFit="1" customWidth="1"/>
    <col min="3341" max="3341" width="19.85546875" style="26" bestFit="1" customWidth="1"/>
    <col min="3342" max="3576" width="11.42578125" style="26"/>
    <col min="3577" max="3577" width="2.42578125" style="26" customWidth="1"/>
    <col min="3578" max="3578" width="49" style="26" customWidth="1"/>
    <col min="3579" max="3579" width="16.85546875" style="26" customWidth="1"/>
    <col min="3580" max="3580" width="1.140625" style="26" customWidth="1"/>
    <col min="3581" max="3581" width="20.5703125" style="26" customWidth="1"/>
    <col min="3582" max="3582" width="17.5703125" style="26" customWidth="1"/>
    <col min="3583" max="3583" width="18.140625" style="26" customWidth="1"/>
    <col min="3584" max="3584" width="17.140625" style="26" customWidth="1"/>
    <col min="3585" max="3585" width="22.42578125" style="26" bestFit="1" customWidth="1"/>
    <col min="3586" max="3586" width="22.140625" style="26" customWidth="1"/>
    <col min="3587" max="3587" width="17.85546875" style="26" customWidth="1"/>
    <col min="3588" max="3588" width="22.42578125" style="26" customWidth="1"/>
    <col min="3589" max="3589" width="10.140625" style="26" bestFit="1" customWidth="1"/>
    <col min="3590" max="3590" width="13.42578125" style="26" customWidth="1"/>
    <col min="3591" max="3591" width="7.42578125" style="26" bestFit="1" customWidth="1"/>
    <col min="3592" max="3592" width="15.42578125" style="26" bestFit="1" customWidth="1"/>
    <col min="3593" max="3593" width="7.42578125" style="26" bestFit="1" customWidth="1"/>
    <col min="3594" max="3594" width="19.5703125" style="26" bestFit="1" customWidth="1"/>
    <col min="3595" max="3595" width="7.42578125" style="26" bestFit="1" customWidth="1"/>
    <col min="3596" max="3596" width="26.85546875" style="26" bestFit="1" customWidth="1"/>
    <col min="3597" max="3597" width="19.85546875" style="26" bestFit="1" customWidth="1"/>
    <col min="3598" max="3832" width="11.42578125" style="26"/>
    <col min="3833" max="3833" width="2.42578125" style="26" customWidth="1"/>
    <col min="3834" max="3834" width="49" style="26" customWidth="1"/>
    <col min="3835" max="3835" width="16.85546875" style="26" customWidth="1"/>
    <col min="3836" max="3836" width="1.140625" style="26" customWidth="1"/>
    <col min="3837" max="3837" width="20.5703125" style="26" customWidth="1"/>
    <col min="3838" max="3838" width="17.5703125" style="26" customWidth="1"/>
    <col min="3839" max="3839" width="18.140625" style="26" customWidth="1"/>
    <col min="3840" max="3840" width="17.140625" style="26" customWidth="1"/>
    <col min="3841" max="3841" width="22.42578125" style="26" bestFit="1" customWidth="1"/>
    <col min="3842" max="3842" width="22.140625" style="26" customWidth="1"/>
    <col min="3843" max="3843" width="17.85546875" style="26" customWidth="1"/>
    <col min="3844" max="3844" width="22.42578125" style="26" customWidth="1"/>
    <col min="3845" max="3845" width="10.140625" style="26" bestFit="1" customWidth="1"/>
    <col min="3846" max="3846" width="13.42578125" style="26" customWidth="1"/>
    <col min="3847" max="3847" width="7.42578125" style="26" bestFit="1" customWidth="1"/>
    <col min="3848" max="3848" width="15.42578125" style="26" bestFit="1" customWidth="1"/>
    <col min="3849" max="3849" width="7.42578125" style="26" bestFit="1" customWidth="1"/>
    <col min="3850" max="3850" width="19.5703125" style="26" bestFit="1" customWidth="1"/>
    <col min="3851" max="3851" width="7.42578125" style="26" bestFit="1" customWidth="1"/>
    <col min="3852" max="3852" width="26.85546875" style="26" bestFit="1" customWidth="1"/>
    <col min="3853" max="3853" width="19.85546875" style="26" bestFit="1" customWidth="1"/>
    <col min="3854" max="4088" width="11.42578125" style="26"/>
    <col min="4089" max="4089" width="2.42578125" style="26" customWidth="1"/>
    <col min="4090" max="4090" width="49" style="26" customWidth="1"/>
    <col min="4091" max="4091" width="16.85546875" style="26" customWidth="1"/>
    <col min="4092" max="4092" width="1.140625" style="26" customWidth="1"/>
    <col min="4093" max="4093" width="20.5703125" style="26" customWidth="1"/>
    <col min="4094" max="4094" width="17.5703125" style="26" customWidth="1"/>
    <col min="4095" max="4095" width="18.140625" style="26" customWidth="1"/>
    <col min="4096" max="4096" width="17.140625" style="26" customWidth="1"/>
    <col min="4097" max="4097" width="22.42578125" style="26" bestFit="1" customWidth="1"/>
    <col min="4098" max="4098" width="22.140625" style="26" customWidth="1"/>
    <col min="4099" max="4099" width="17.85546875" style="26" customWidth="1"/>
    <col min="4100" max="4100" width="22.42578125" style="26" customWidth="1"/>
    <col min="4101" max="4101" width="10.140625" style="26" bestFit="1" customWidth="1"/>
    <col min="4102" max="4102" width="13.42578125" style="26" customWidth="1"/>
    <col min="4103" max="4103" width="7.42578125" style="26" bestFit="1" customWidth="1"/>
    <col min="4104" max="4104" width="15.42578125" style="26" bestFit="1" customWidth="1"/>
    <col min="4105" max="4105" width="7.42578125" style="26" bestFit="1" customWidth="1"/>
    <col min="4106" max="4106" width="19.5703125" style="26" bestFit="1" customWidth="1"/>
    <col min="4107" max="4107" width="7.42578125" style="26" bestFit="1" customWidth="1"/>
    <col min="4108" max="4108" width="26.85546875" style="26" bestFit="1" customWidth="1"/>
    <col min="4109" max="4109" width="19.85546875" style="26" bestFit="1" customWidth="1"/>
    <col min="4110" max="4344" width="11.42578125" style="26"/>
    <col min="4345" max="4345" width="2.42578125" style="26" customWidth="1"/>
    <col min="4346" max="4346" width="49" style="26" customWidth="1"/>
    <col min="4347" max="4347" width="16.85546875" style="26" customWidth="1"/>
    <col min="4348" max="4348" width="1.140625" style="26" customWidth="1"/>
    <col min="4349" max="4349" width="20.5703125" style="26" customWidth="1"/>
    <col min="4350" max="4350" width="17.5703125" style="26" customWidth="1"/>
    <col min="4351" max="4351" width="18.140625" style="26" customWidth="1"/>
    <col min="4352" max="4352" width="17.140625" style="26" customWidth="1"/>
    <col min="4353" max="4353" width="22.42578125" style="26" bestFit="1" customWidth="1"/>
    <col min="4354" max="4354" width="22.140625" style="26" customWidth="1"/>
    <col min="4355" max="4355" width="17.85546875" style="26" customWidth="1"/>
    <col min="4356" max="4356" width="22.42578125" style="26" customWidth="1"/>
    <col min="4357" max="4357" width="10.140625" style="26" bestFit="1" customWidth="1"/>
    <col min="4358" max="4358" width="13.42578125" style="26" customWidth="1"/>
    <col min="4359" max="4359" width="7.42578125" style="26" bestFit="1" customWidth="1"/>
    <col min="4360" max="4360" width="15.42578125" style="26" bestFit="1" customWidth="1"/>
    <col min="4361" max="4361" width="7.42578125" style="26" bestFit="1" customWidth="1"/>
    <col min="4362" max="4362" width="19.5703125" style="26" bestFit="1" customWidth="1"/>
    <col min="4363" max="4363" width="7.42578125" style="26" bestFit="1" customWidth="1"/>
    <col min="4364" max="4364" width="26.85546875" style="26" bestFit="1" customWidth="1"/>
    <col min="4365" max="4365" width="19.85546875" style="26" bestFit="1" customWidth="1"/>
    <col min="4366" max="4600" width="11.42578125" style="26"/>
    <col min="4601" max="4601" width="2.42578125" style="26" customWidth="1"/>
    <col min="4602" max="4602" width="49" style="26" customWidth="1"/>
    <col min="4603" max="4603" width="16.85546875" style="26" customWidth="1"/>
    <col min="4604" max="4604" width="1.140625" style="26" customWidth="1"/>
    <col min="4605" max="4605" width="20.5703125" style="26" customWidth="1"/>
    <col min="4606" max="4606" width="17.5703125" style="26" customWidth="1"/>
    <col min="4607" max="4607" width="18.140625" style="26" customWidth="1"/>
    <col min="4608" max="4608" width="17.140625" style="26" customWidth="1"/>
    <col min="4609" max="4609" width="22.42578125" style="26" bestFit="1" customWidth="1"/>
    <col min="4610" max="4610" width="22.140625" style="26" customWidth="1"/>
    <col min="4611" max="4611" width="17.85546875" style="26" customWidth="1"/>
    <col min="4612" max="4612" width="22.42578125" style="26" customWidth="1"/>
    <col min="4613" max="4613" width="10.140625" style="26" bestFit="1" customWidth="1"/>
    <col min="4614" max="4614" width="13.42578125" style="26" customWidth="1"/>
    <col min="4615" max="4615" width="7.42578125" style="26" bestFit="1" customWidth="1"/>
    <col min="4616" max="4616" width="15.42578125" style="26" bestFit="1" customWidth="1"/>
    <col min="4617" max="4617" width="7.42578125" style="26" bestFit="1" customWidth="1"/>
    <col min="4618" max="4618" width="19.5703125" style="26" bestFit="1" customWidth="1"/>
    <col min="4619" max="4619" width="7.42578125" style="26" bestFit="1" customWidth="1"/>
    <col min="4620" max="4620" width="26.85546875" style="26" bestFit="1" customWidth="1"/>
    <col min="4621" max="4621" width="19.85546875" style="26" bestFit="1" customWidth="1"/>
    <col min="4622" max="4856" width="11.42578125" style="26"/>
    <col min="4857" max="4857" width="2.42578125" style="26" customWidth="1"/>
    <col min="4858" max="4858" width="49" style="26" customWidth="1"/>
    <col min="4859" max="4859" width="16.85546875" style="26" customWidth="1"/>
    <col min="4860" max="4860" width="1.140625" style="26" customWidth="1"/>
    <col min="4861" max="4861" width="20.5703125" style="26" customWidth="1"/>
    <col min="4862" max="4862" width="17.5703125" style="26" customWidth="1"/>
    <col min="4863" max="4863" width="18.140625" style="26" customWidth="1"/>
    <col min="4864" max="4864" width="17.140625" style="26" customWidth="1"/>
    <col min="4865" max="4865" width="22.42578125" style="26" bestFit="1" customWidth="1"/>
    <col min="4866" max="4866" width="22.140625" style="26" customWidth="1"/>
    <col min="4867" max="4867" width="17.85546875" style="26" customWidth="1"/>
    <col min="4868" max="4868" width="22.42578125" style="26" customWidth="1"/>
    <col min="4869" max="4869" width="10.140625" style="26" bestFit="1" customWidth="1"/>
    <col min="4870" max="4870" width="13.42578125" style="26" customWidth="1"/>
    <col min="4871" max="4871" width="7.42578125" style="26" bestFit="1" customWidth="1"/>
    <col min="4872" max="4872" width="15.42578125" style="26" bestFit="1" customWidth="1"/>
    <col min="4873" max="4873" width="7.42578125" style="26" bestFit="1" customWidth="1"/>
    <col min="4874" max="4874" width="19.5703125" style="26" bestFit="1" customWidth="1"/>
    <col min="4875" max="4875" width="7.42578125" style="26" bestFit="1" customWidth="1"/>
    <col min="4876" max="4876" width="26.85546875" style="26" bestFit="1" customWidth="1"/>
    <col min="4877" max="4877" width="19.85546875" style="26" bestFit="1" customWidth="1"/>
    <col min="4878" max="5112" width="11.42578125" style="26"/>
    <col min="5113" max="5113" width="2.42578125" style="26" customWidth="1"/>
    <col min="5114" max="5114" width="49" style="26" customWidth="1"/>
    <col min="5115" max="5115" width="16.85546875" style="26" customWidth="1"/>
    <col min="5116" max="5116" width="1.140625" style="26" customWidth="1"/>
    <col min="5117" max="5117" width="20.5703125" style="26" customWidth="1"/>
    <col min="5118" max="5118" width="17.5703125" style="26" customWidth="1"/>
    <col min="5119" max="5119" width="18.140625" style="26" customWidth="1"/>
    <col min="5120" max="5120" width="17.140625" style="26" customWidth="1"/>
    <col min="5121" max="5121" width="22.42578125" style="26" bestFit="1" customWidth="1"/>
    <col min="5122" max="5122" width="22.140625" style="26" customWidth="1"/>
    <col min="5123" max="5123" width="17.85546875" style="26" customWidth="1"/>
    <col min="5124" max="5124" width="22.42578125" style="26" customWidth="1"/>
    <col min="5125" max="5125" width="10.140625" style="26" bestFit="1" customWidth="1"/>
    <col min="5126" max="5126" width="13.42578125" style="26" customWidth="1"/>
    <col min="5127" max="5127" width="7.42578125" style="26" bestFit="1" customWidth="1"/>
    <col min="5128" max="5128" width="15.42578125" style="26" bestFit="1" customWidth="1"/>
    <col min="5129" max="5129" width="7.42578125" style="26" bestFit="1" customWidth="1"/>
    <col min="5130" max="5130" width="19.5703125" style="26" bestFit="1" customWidth="1"/>
    <col min="5131" max="5131" width="7.42578125" style="26" bestFit="1" customWidth="1"/>
    <col min="5132" max="5132" width="26.85546875" style="26" bestFit="1" customWidth="1"/>
    <col min="5133" max="5133" width="19.85546875" style="26" bestFit="1" customWidth="1"/>
    <col min="5134" max="5368" width="11.42578125" style="26"/>
    <col min="5369" max="5369" width="2.42578125" style="26" customWidth="1"/>
    <col min="5370" max="5370" width="49" style="26" customWidth="1"/>
    <col min="5371" max="5371" width="16.85546875" style="26" customWidth="1"/>
    <col min="5372" max="5372" width="1.140625" style="26" customWidth="1"/>
    <col min="5373" max="5373" width="20.5703125" style="26" customWidth="1"/>
    <col min="5374" max="5374" width="17.5703125" style="26" customWidth="1"/>
    <col min="5375" max="5375" width="18.140625" style="26" customWidth="1"/>
    <col min="5376" max="5376" width="17.140625" style="26" customWidth="1"/>
    <col min="5377" max="5377" width="22.42578125" style="26" bestFit="1" customWidth="1"/>
    <col min="5378" max="5378" width="22.140625" style="26" customWidth="1"/>
    <col min="5379" max="5379" width="17.85546875" style="26" customWidth="1"/>
    <col min="5380" max="5380" width="22.42578125" style="26" customWidth="1"/>
    <col min="5381" max="5381" width="10.140625" style="26" bestFit="1" customWidth="1"/>
    <col min="5382" max="5382" width="13.42578125" style="26" customWidth="1"/>
    <col min="5383" max="5383" width="7.42578125" style="26" bestFit="1" customWidth="1"/>
    <col min="5384" max="5384" width="15.42578125" style="26" bestFit="1" customWidth="1"/>
    <col min="5385" max="5385" width="7.42578125" style="26" bestFit="1" customWidth="1"/>
    <col min="5386" max="5386" width="19.5703125" style="26" bestFit="1" customWidth="1"/>
    <col min="5387" max="5387" width="7.42578125" style="26" bestFit="1" customWidth="1"/>
    <col min="5388" max="5388" width="26.85546875" style="26" bestFit="1" customWidth="1"/>
    <col min="5389" max="5389" width="19.85546875" style="26" bestFit="1" customWidth="1"/>
    <col min="5390" max="5624" width="11.42578125" style="26"/>
    <col min="5625" max="5625" width="2.42578125" style="26" customWidth="1"/>
    <col min="5626" max="5626" width="49" style="26" customWidth="1"/>
    <col min="5627" max="5627" width="16.85546875" style="26" customWidth="1"/>
    <col min="5628" max="5628" width="1.140625" style="26" customWidth="1"/>
    <col min="5629" max="5629" width="20.5703125" style="26" customWidth="1"/>
    <col min="5630" max="5630" width="17.5703125" style="26" customWidth="1"/>
    <col min="5631" max="5631" width="18.140625" style="26" customWidth="1"/>
    <col min="5632" max="5632" width="17.140625" style="26" customWidth="1"/>
    <col min="5633" max="5633" width="22.42578125" style="26" bestFit="1" customWidth="1"/>
    <col min="5634" max="5634" width="22.140625" style="26" customWidth="1"/>
    <col min="5635" max="5635" width="17.85546875" style="26" customWidth="1"/>
    <col min="5636" max="5636" width="22.42578125" style="26" customWidth="1"/>
    <col min="5637" max="5637" width="10.140625" style="26" bestFit="1" customWidth="1"/>
    <col min="5638" max="5638" width="13.42578125" style="26" customWidth="1"/>
    <col min="5639" max="5639" width="7.42578125" style="26" bestFit="1" customWidth="1"/>
    <col min="5640" max="5640" width="15.42578125" style="26" bestFit="1" customWidth="1"/>
    <col min="5641" max="5641" width="7.42578125" style="26" bestFit="1" customWidth="1"/>
    <col min="5642" max="5642" width="19.5703125" style="26" bestFit="1" customWidth="1"/>
    <col min="5643" max="5643" width="7.42578125" style="26" bestFit="1" customWidth="1"/>
    <col min="5644" max="5644" width="26.85546875" style="26" bestFit="1" customWidth="1"/>
    <col min="5645" max="5645" width="19.85546875" style="26" bestFit="1" customWidth="1"/>
    <col min="5646" max="5880" width="11.42578125" style="26"/>
    <col min="5881" max="5881" width="2.42578125" style="26" customWidth="1"/>
    <col min="5882" max="5882" width="49" style="26" customWidth="1"/>
    <col min="5883" max="5883" width="16.85546875" style="26" customWidth="1"/>
    <col min="5884" max="5884" width="1.140625" style="26" customWidth="1"/>
    <col min="5885" max="5885" width="20.5703125" style="26" customWidth="1"/>
    <col min="5886" max="5886" width="17.5703125" style="26" customWidth="1"/>
    <col min="5887" max="5887" width="18.140625" style="26" customWidth="1"/>
    <col min="5888" max="5888" width="17.140625" style="26" customWidth="1"/>
    <col min="5889" max="5889" width="22.42578125" style="26" bestFit="1" customWidth="1"/>
    <col min="5890" max="5890" width="22.140625" style="26" customWidth="1"/>
    <col min="5891" max="5891" width="17.85546875" style="26" customWidth="1"/>
    <col min="5892" max="5892" width="22.42578125" style="26" customWidth="1"/>
    <col min="5893" max="5893" width="10.140625" style="26" bestFit="1" customWidth="1"/>
    <col min="5894" max="5894" width="13.42578125" style="26" customWidth="1"/>
    <col min="5895" max="5895" width="7.42578125" style="26" bestFit="1" customWidth="1"/>
    <col min="5896" max="5896" width="15.42578125" style="26" bestFit="1" customWidth="1"/>
    <col min="5897" max="5897" width="7.42578125" style="26" bestFit="1" customWidth="1"/>
    <col min="5898" max="5898" width="19.5703125" style="26" bestFit="1" customWidth="1"/>
    <col min="5899" max="5899" width="7.42578125" style="26" bestFit="1" customWidth="1"/>
    <col min="5900" max="5900" width="26.85546875" style="26" bestFit="1" customWidth="1"/>
    <col min="5901" max="5901" width="19.85546875" style="26" bestFit="1" customWidth="1"/>
    <col min="5902" max="6136" width="11.42578125" style="26"/>
    <col min="6137" max="6137" width="2.42578125" style="26" customWidth="1"/>
    <col min="6138" max="6138" width="49" style="26" customWidth="1"/>
    <col min="6139" max="6139" width="16.85546875" style="26" customWidth="1"/>
    <col min="6140" max="6140" width="1.140625" style="26" customWidth="1"/>
    <col min="6141" max="6141" width="20.5703125" style="26" customWidth="1"/>
    <col min="6142" max="6142" width="17.5703125" style="26" customWidth="1"/>
    <col min="6143" max="6143" width="18.140625" style="26" customWidth="1"/>
    <col min="6144" max="6144" width="17.140625" style="26" customWidth="1"/>
    <col min="6145" max="6145" width="22.42578125" style="26" bestFit="1" customWidth="1"/>
    <col min="6146" max="6146" width="22.140625" style="26" customWidth="1"/>
    <col min="6147" max="6147" width="17.85546875" style="26" customWidth="1"/>
    <col min="6148" max="6148" width="22.42578125" style="26" customWidth="1"/>
    <col min="6149" max="6149" width="10.140625" style="26" bestFit="1" customWidth="1"/>
    <col min="6150" max="6150" width="13.42578125" style="26" customWidth="1"/>
    <col min="6151" max="6151" width="7.42578125" style="26" bestFit="1" customWidth="1"/>
    <col min="6152" max="6152" width="15.42578125" style="26" bestFit="1" customWidth="1"/>
    <col min="6153" max="6153" width="7.42578125" style="26" bestFit="1" customWidth="1"/>
    <col min="6154" max="6154" width="19.5703125" style="26" bestFit="1" customWidth="1"/>
    <col min="6155" max="6155" width="7.42578125" style="26" bestFit="1" customWidth="1"/>
    <col min="6156" max="6156" width="26.85546875" style="26" bestFit="1" customWidth="1"/>
    <col min="6157" max="6157" width="19.85546875" style="26" bestFit="1" customWidth="1"/>
    <col min="6158" max="6392" width="11.42578125" style="26"/>
    <col min="6393" max="6393" width="2.42578125" style="26" customWidth="1"/>
    <col min="6394" max="6394" width="49" style="26" customWidth="1"/>
    <col min="6395" max="6395" width="16.85546875" style="26" customWidth="1"/>
    <col min="6396" max="6396" width="1.140625" style="26" customWidth="1"/>
    <col min="6397" max="6397" width="20.5703125" style="26" customWidth="1"/>
    <col min="6398" max="6398" width="17.5703125" style="26" customWidth="1"/>
    <col min="6399" max="6399" width="18.140625" style="26" customWidth="1"/>
    <col min="6400" max="6400" width="17.140625" style="26" customWidth="1"/>
    <col min="6401" max="6401" width="22.42578125" style="26" bestFit="1" customWidth="1"/>
    <col min="6402" max="6402" width="22.140625" style="26" customWidth="1"/>
    <col min="6403" max="6403" width="17.85546875" style="26" customWidth="1"/>
    <col min="6404" max="6404" width="22.42578125" style="26" customWidth="1"/>
    <col min="6405" max="6405" width="10.140625" style="26" bestFit="1" customWidth="1"/>
    <col min="6406" max="6406" width="13.42578125" style="26" customWidth="1"/>
    <col min="6407" max="6407" width="7.42578125" style="26" bestFit="1" customWidth="1"/>
    <col min="6408" max="6408" width="15.42578125" style="26" bestFit="1" customWidth="1"/>
    <col min="6409" max="6409" width="7.42578125" style="26" bestFit="1" customWidth="1"/>
    <col min="6410" max="6410" width="19.5703125" style="26" bestFit="1" customWidth="1"/>
    <col min="6411" max="6411" width="7.42578125" style="26" bestFit="1" customWidth="1"/>
    <col min="6412" max="6412" width="26.85546875" style="26" bestFit="1" customWidth="1"/>
    <col min="6413" max="6413" width="19.85546875" style="26" bestFit="1" customWidth="1"/>
    <col min="6414" max="6648" width="11.42578125" style="26"/>
    <col min="6649" max="6649" width="2.42578125" style="26" customWidth="1"/>
    <col min="6650" max="6650" width="49" style="26" customWidth="1"/>
    <col min="6651" max="6651" width="16.85546875" style="26" customWidth="1"/>
    <col min="6652" max="6652" width="1.140625" style="26" customWidth="1"/>
    <col min="6653" max="6653" width="20.5703125" style="26" customWidth="1"/>
    <col min="6654" max="6654" width="17.5703125" style="26" customWidth="1"/>
    <col min="6655" max="6655" width="18.140625" style="26" customWidth="1"/>
    <col min="6656" max="6656" width="17.140625" style="26" customWidth="1"/>
    <col min="6657" max="6657" width="22.42578125" style="26" bestFit="1" customWidth="1"/>
    <col min="6658" max="6658" width="22.140625" style="26" customWidth="1"/>
    <col min="6659" max="6659" width="17.85546875" style="26" customWidth="1"/>
    <col min="6660" max="6660" width="22.42578125" style="26" customWidth="1"/>
    <col min="6661" max="6661" width="10.140625" style="26" bestFit="1" customWidth="1"/>
    <col min="6662" max="6662" width="13.42578125" style="26" customWidth="1"/>
    <col min="6663" max="6663" width="7.42578125" style="26" bestFit="1" customWidth="1"/>
    <col min="6664" max="6664" width="15.42578125" style="26" bestFit="1" customWidth="1"/>
    <col min="6665" max="6665" width="7.42578125" style="26" bestFit="1" customWidth="1"/>
    <col min="6666" max="6666" width="19.5703125" style="26" bestFit="1" customWidth="1"/>
    <col min="6667" max="6667" width="7.42578125" style="26" bestFit="1" customWidth="1"/>
    <col min="6668" max="6668" width="26.85546875" style="26" bestFit="1" customWidth="1"/>
    <col min="6669" max="6669" width="19.85546875" style="26" bestFit="1" customWidth="1"/>
    <col min="6670" max="6904" width="11.42578125" style="26"/>
    <col min="6905" max="6905" width="2.42578125" style="26" customWidth="1"/>
    <col min="6906" max="6906" width="49" style="26" customWidth="1"/>
    <col min="6907" max="6907" width="16.85546875" style="26" customWidth="1"/>
    <col min="6908" max="6908" width="1.140625" style="26" customWidth="1"/>
    <col min="6909" max="6909" width="20.5703125" style="26" customWidth="1"/>
    <col min="6910" max="6910" width="17.5703125" style="26" customWidth="1"/>
    <col min="6911" max="6911" width="18.140625" style="26" customWidth="1"/>
    <col min="6912" max="6912" width="17.140625" style="26" customWidth="1"/>
    <col min="6913" max="6913" width="22.42578125" style="26" bestFit="1" customWidth="1"/>
    <col min="6914" max="6914" width="22.140625" style="26" customWidth="1"/>
    <col min="6915" max="6915" width="17.85546875" style="26" customWidth="1"/>
    <col min="6916" max="6916" width="22.42578125" style="26" customWidth="1"/>
    <col min="6917" max="6917" width="10.140625" style="26" bestFit="1" customWidth="1"/>
    <col min="6918" max="6918" width="13.42578125" style="26" customWidth="1"/>
    <col min="6919" max="6919" width="7.42578125" style="26" bestFit="1" customWidth="1"/>
    <col min="6920" max="6920" width="15.42578125" style="26" bestFit="1" customWidth="1"/>
    <col min="6921" max="6921" width="7.42578125" style="26" bestFit="1" customWidth="1"/>
    <col min="6922" max="6922" width="19.5703125" style="26" bestFit="1" customWidth="1"/>
    <col min="6923" max="6923" width="7.42578125" style="26" bestFit="1" customWidth="1"/>
    <col min="6924" max="6924" width="26.85546875" style="26" bestFit="1" customWidth="1"/>
    <col min="6925" max="6925" width="19.85546875" style="26" bestFit="1" customWidth="1"/>
    <col min="6926" max="7160" width="11.42578125" style="26"/>
    <col min="7161" max="7161" width="2.42578125" style="26" customWidth="1"/>
    <col min="7162" max="7162" width="49" style="26" customWidth="1"/>
    <col min="7163" max="7163" width="16.85546875" style="26" customWidth="1"/>
    <col min="7164" max="7164" width="1.140625" style="26" customWidth="1"/>
    <col min="7165" max="7165" width="20.5703125" style="26" customWidth="1"/>
    <col min="7166" max="7166" width="17.5703125" style="26" customWidth="1"/>
    <col min="7167" max="7167" width="18.140625" style="26" customWidth="1"/>
    <col min="7168" max="7168" width="17.140625" style="26" customWidth="1"/>
    <col min="7169" max="7169" width="22.42578125" style="26" bestFit="1" customWidth="1"/>
    <col min="7170" max="7170" width="22.140625" style="26" customWidth="1"/>
    <col min="7171" max="7171" width="17.85546875" style="26" customWidth="1"/>
    <col min="7172" max="7172" width="22.42578125" style="26" customWidth="1"/>
    <col min="7173" max="7173" width="10.140625" style="26" bestFit="1" customWidth="1"/>
    <col min="7174" max="7174" width="13.42578125" style="26" customWidth="1"/>
    <col min="7175" max="7175" width="7.42578125" style="26" bestFit="1" customWidth="1"/>
    <col min="7176" max="7176" width="15.42578125" style="26" bestFit="1" customWidth="1"/>
    <col min="7177" max="7177" width="7.42578125" style="26" bestFit="1" customWidth="1"/>
    <col min="7178" max="7178" width="19.5703125" style="26" bestFit="1" customWidth="1"/>
    <col min="7179" max="7179" width="7.42578125" style="26" bestFit="1" customWidth="1"/>
    <col min="7180" max="7180" width="26.85546875" style="26" bestFit="1" customWidth="1"/>
    <col min="7181" max="7181" width="19.85546875" style="26" bestFit="1" customWidth="1"/>
    <col min="7182" max="7416" width="11.42578125" style="26"/>
    <col min="7417" max="7417" width="2.42578125" style="26" customWidth="1"/>
    <col min="7418" max="7418" width="49" style="26" customWidth="1"/>
    <col min="7419" max="7419" width="16.85546875" style="26" customWidth="1"/>
    <col min="7420" max="7420" width="1.140625" style="26" customWidth="1"/>
    <col min="7421" max="7421" width="20.5703125" style="26" customWidth="1"/>
    <col min="7422" max="7422" width="17.5703125" style="26" customWidth="1"/>
    <col min="7423" max="7423" width="18.140625" style="26" customWidth="1"/>
    <col min="7424" max="7424" width="17.140625" style="26" customWidth="1"/>
    <col min="7425" max="7425" width="22.42578125" style="26" bestFit="1" customWidth="1"/>
    <col min="7426" max="7426" width="22.140625" style="26" customWidth="1"/>
    <col min="7427" max="7427" width="17.85546875" style="26" customWidth="1"/>
    <col min="7428" max="7428" width="22.42578125" style="26" customWidth="1"/>
    <col min="7429" max="7429" width="10.140625" style="26" bestFit="1" customWidth="1"/>
    <col min="7430" max="7430" width="13.42578125" style="26" customWidth="1"/>
    <col min="7431" max="7431" width="7.42578125" style="26" bestFit="1" customWidth="1"/>
    <col min="7432" max="7432" width="15.42578125" style="26" bestFit="1" customWidth="1"/>
    <col min="7433" max="7433" width="7.42578125" style="26" bestFit="1" customWidth="1"/>
    <col min="7434" max="7434" width="19.5703125" style="26" bestFit="1" customWidth="1"/>
    <col min="7435" max="7435" width="7.42578125" style="26" bestFit="1" customWidth="1"/>
    <col min="7436" max="7436" width="26.85546875" style="26" bestFit="1" customWidth="1"/>
    <col min="7437" max="7437" width="19.85546875" style="26" bestFit="1" customWidth="1"/>
    <col min="7438" max="7672" width="11.42578125" style="26"/>
    <col min="7673" max="7673" width="2.42578125" style="26" customWidth="1"/>
    <col min="7674" max="7674" width="49" style="26" customWidth="1"/>
    <col min="7675" max="7675" width="16.85546875" style="26" customWidth="1"/>
    <col min="7676" max="7676" width="1.140625" style="26" customWidth="1"/>
    <col min="7677" max="7677" width="20.5703125" style="26" customWidth="1"/>
    <col min="7678" max="7678" width="17.5703125" style="26" customWidth="1"/>
    <col min="7679" max="7679" width="18.140625" style="26" customWidth="1"/>
    <col min="7680" max="7680" width="17.140625" style="26" customWidth="1"/>
    <col min="7681" max="7681" width="22.42578125" style="26" bestFit="1" customWidth="1"/>
    <col min="7682" max="7682" width="22.140625" style="26" customWidth="1"/>
    <col min="7683" max="7683" width="17.85546875" style="26" customWidth="1"/>
    <col min="7684" max="7684" width="22.42578125" style="26" customWidth="1"/>
    <col min="7685" max="7685" width="10.140625" style="26" bestFit="1" customWidth="1"/>
    <col min="7686" max="7686" width="13.42578125" style="26" customWidth="1"/>
    <col min="7687" max="7687" width="7.42578125" style="26" bestFit="1" customWidth="1"/>
    <col min="7688" max="7688" width="15.42578125" style="26" bestFit="1" customWidth="1"/>
    <col min="7689" max="7689" width="7.42578125" style="26" bestFit="1" customWidth="1"/>
    <col min="7690" max="7690" width="19.5703125" style="26" bestFit="1" customWidth="1"/>
    <col min="7691" max="7691" width="7.42578125" style="26" bestFit="1" customWidth="1"/>
    <col min="7692" max="7692" width="26.85546875" style="26" bestFit="1" customWidth="1"/>
    <col min="7693" max="7693" width="19.85546875" style="26" bestFit="1" customWidth="1"/>
    <col min="7694" max="7928" width="11.42578125" style="26"/>
    <col min="7929" max="7929" width="2.42578125" style="26" customWidth="1"/>
    <col min="7930" max="7930" width="49" style="26" customWidth="1"/>
    <col min="7931" max="7931" width="16.85546875" style="26" customWidth="1"/>
    <col min="7932" max="7932" width="1.140625" style="26" customWidth="1"/>
    <col min="7933" max="7933" width="20.5703125" style="26" customWidth="1"/>
    <col min="7934" max="7934" width="17.5703125" style="26" customWidth="1"/>
    <col min="7935" max="7935" width="18.140625" style="26" customWidth="1"/>
    <col min="7936" max="7936" width="17.140625" style="26" customWidth="1"/>
    <col min="7937" max="7937" width="22.42578125" style="26" bestFit="1" customWidth="1"/>
    <col min="7938" max="7938" width="22.140625" style="26" customWidth="1"/>
    <col min="7939" max="7939" width="17.85546875" style="26" customWidth="1"/>
    <col min="7940" max="7940" width="22.42578125" style="26" customWidth="1"/>
    <col min="7941" max="7941" width="10.140625" style="26" bestFit="1" customWidth="1"/>
    <col min="7942" max="7942" width="13.42578125" style="26" customWidth="1"/>
    <col min="7943" max="7943" width="7.42578125" style="26" bestFit="1" customWidth="1"/>
    <col min="7944" max="7944" width="15.42578125" style="26" bestFit="1" customWidth="1"/>
    <col min="7945" max="7945" width="7.42578125" style="26" bestFit="1" customWidth="1"/>
    <col min="7946" max="7946" width="19.5703125" style="26" bestFit="1" customWidth="1"/>
    <col min="7947" max="7947" width="7.42578125" style="26" bestFit="1" customWidth="1"/>
    <col min="7948" max="7948" width="26.85546875" style="26" bestFit="1" customWidth="1"/>
    <col min="7949" max="7949" width="19.85546875" style="26" bestFit="1" customWidth="1"/>
    <col min="7950" max="8184" width="11.42578125" style="26"/>
    <col min="8185" max="8185" width="2.42578125" style="26" customWidth="1"/>
    <col min="8186" max="8186" width="49" style="26" customWidth="1"/>
    <col min="8187" max="8187" width="16.85546875" style="26" customWidth="1"/>
    <col min="8188" max="8188" width="1.140625" style="26" customWidth="1"/>
    <col min="8189" max="8189" width="20.5703125" style="26" customWidth="1"/>
    <col min="8190" max="8190" width="17.5703125" style="26" customWidth="1"/>
    <col min="8191" max="8191" width="18.140625" style="26" customWidth="1"/>
    <col min="8192" max="8192" width="17.140625" style="26" customWidth="1"/>
    <col min="8193" max="8193" width="22.42578125" style="26" bestFit="1" customWidth="1"/>
    <col min="8194" max="8194" width="22.140625" style="26" customWidth="1"/>
    <col min="8195" max="8195" width="17.85546875" style="26" customWidth="1"/>
    <col min="8196" max="8196" width="22.42578125" style="26" customWidth="1"/>
    <col min="8197" max="8197" width="10.140625" style="26" bestFit="1" customWidth="1"/>
    <col min="8198" max="8198" width="13.42578125" style="26" customWidth="1"/>
    <col min="8199" max="8199" width="7.42578125" style="26" bestFit="1" customWidth="1"/>
    <col min="8200" max="8200" width="15.42578125" style="26" bestFit="1" customWidth="1"/>
    <col min="8201" max="8201" width="7.42578125" style="26" bestFit="1" customWidth="1"/>
    <col min="8202" max="8202" width="19.5703125" style="26" bestFit="1" customWidth="1"/>
    <col min="8203" max="8203" width="7.42578125" style="26" bestFit="1" customWidth="1"/>
    <col min="8204" max="8204" width="26.85546875" style="26" bestFit="1" customWidth="1"/>
    <col min="8205" max="8205" width="19.85546875" style="26" bestFit="1" customWidth="1"/>
    <col min="8206" max="8440" width="11.42578125" style="26"/>
    <col min="8441" max="8441" width="2.42578125" style="26" customWidth="1"/>
    <col min="8442" max="8442" width="49" style="26" customWidth="1"/>
    <col min="8443" max="8443" width="16.85546875" style="26" customWidth="1"/>
    <col min="8444" max="8444" width="1.140625" style="26" customWidth="1"/>
    <col min="8445" max="8445" width="20.5703125" style="26" customWidth="1"/>
    <col min="8446" max="8446" width="17.5703125" style="26" customWidth="1"/>
    <col min="8447" max="8447" width="18.140625" style="26" customWidth="1"/>
    <col min="8448" max="8448" width="17.140625" style="26" customWidth="1"/>
    <col min="8449" max="8449" width="22.42578125" style="26" bestFit="1" customWidth="1"/>
    <col min="8450" max="8450" width="22.140625" style="26" customWidth="1"/>
    <col min="8451" max="8451" width="17.85546875" style="26" customWidth="1"/>
    <col min="8452" max="8452" width="22.42578125" style="26" customWidth="1"/>
    <col min="8453" max="8453" width="10.140625" style="26" bestFit="1" customWidth="1"/>
    <col min="8454" max="8454" width="13.42578125" style="26" customWidth="1"/>
    <col min="8455" max="8455" width="7.42578125" style="26" bestFit="1" customWidth="1"/>
    <col min="8456" max="8456" width="15.42578125" style="26" bestFit="1" customWidth="1"/>
    <col min="8457" max="8457" width="7.42578125" style="26" bestFit="1" customWidth="1"/>
    <col min="8458" max="8458" width="19.5703125" style="26" bestFit="1" customWidth="1"/>
    <col min="8459" max="8459" width="7.42578125" style="26" bestFit="1" customWidth="1"/>
    <col min="8460" max="8460" width="26.85546875" style="26" bestFit="1" customWidth="1"/>
    <col min="8461" max="8461" width="19.85546875" style="26" bestFit="1" customWidth="1"/>
    <col min="8462" max="8696" width="11.42578125" style="26"/>
    <col min="8697" max="8697" width="2.42578125" style="26" customWidth="1"/>
    <col min="8698" max="8698" width="49" style="26" customWidth="1"/>
    <col min="8699" max="8699" width="16.85546875" style="26" customWidth="1"/>
    <col min="8700" max="8700" width="1.140625" style="26" customWidth="1"/>
    <col min="8701" max="8701" width="20.5703125" style="26" customWidth="1"/>
    <col min="8702" max="8702" width="17.5703125" style="26" customWidth="1"/>
    <col min="8703" max="8703" width="18.140625" style="26" customWidth="1"/>
    <col min="8704" max="8704" width="17.140625" style="26" customWidth="1"/>
    <col min="8705" max="8705" width="22.42578125" style="26" bestFit="1" customWidth="1"/>
    <col min="8706" max="8706" width="22.140625" style="26" customWidth="1"/>
    <col min="8707" max="8707" width="17.85546875" style="26" customWidth="1"/>
    <col min="8708" max="8708" width="22.42578125" style="26" customWidth="1"/>
    <col min="8709" max="8709" width="10.140625" style="26" bestFit="1" customWidth="1"/>
    <col min="8710" max="8710" width="13.42578125" style="26" customWidth="1"/>
    <col min="8711" max="8711" width="7.42578125" style="26" bestFit="1" customWidth="1"/>
    <col min="8712" max="8712" width="15.42578125" style="26" bestFit="1" customWidth="1"/>
    <col min="8713" max="8713" width="7.42578125" style="26" bestFit="1" customWidth="1"/>
    <col min="8714" max="8714" width="19.5703125" style="26" bestFit="1" customWidth="1"/>
    <col min="8715" max="8715" width="7.42578125" style="26" bestFit="1" customWidth="1"/>
    <col min="8716" max="8716" width="26.85546875" style="26" bestFit="1" customWidth="1"/>
    <col min="8717" max="8717" width="19.85546875" style="26" bestFit="1" customWidth="1"/>
    <col min="8718" max="8952" width="11.42578125" style="26"/>
    <col min="8953" max="8953" width="2.42578125" style="26" customWidth="1"/>
    <col min="8954" max="8954" width="49" style="26" customWidth="1"/>
    <col min="8955" max="8955" width="16.85546875" style="26" customWidth="1"/>
    <col min="8956" max="8956" width="1.140625" style="26" customWidth="1"/>
    <col min="8957" max="8957" width="20.5703125" style="26" customWidth="1"/>
    <col min="8958" max="8958" width="17.5703125" style="26" customWidth="1"/>
    <col min="8959" max="8959" width="18.140625" style="26" customWidth="1"/>
    <col min="8960" max="8960" width="17.140625" style="26" customWidth="1"/>
    <col min="8961" max="8961" width="22.42578125" style="26" bestFit="1" customWidth="1"/>
    <col min="8962" max="8962" width="22.140625" style="26" customWidth="1"/>
    <col min="8963" max="8963" width="17.85546875" style="26" customWidth="1"/>
    <col min="8964" max="8964" width="22.42578125" style="26" customWidth="1"/>
    <col min="8965" max="8965" width="10.140625" style="26" bestFit="1" customWidth="1"/>
    <col min="8966" max="8966" width="13.42578125" style="26" customWidth="1"/>
    <col min="8967" max="8967" width="7.42578125" style="26" bestFit="1" customWidth="1"/>
    <col min="8968" max="8968" width="15.42578125" style="26" bestFit="1" customWidth="1"/>
    <col min="8969" max="8969" width="7.42578125" style="26" bestFit="1" customWidth="1"/>
    <col min="8970" max="8970" width="19.5703125" style="26" bestFit="1" customWidth="1"/>
    <col min="8971" max="8971" width="7.42578125" style="26" bestFit="1" customWidth="1"/>
    <col min="8972" max="8972" width="26.85546875" style="26" bestFit="1" customWidth="1"/>
    <col min="8973" max="8973" width="19.85546875" style="26" bestFit="1" customWidth="1"/>
    <col min="8974" max="9208" width="11.42578125" style="26"/>
    <col min="9209" max="9209" width="2.42578125" style="26" customWidth="1"/>
    <col min="9210" max="9210" width="49" style="26" customWidth="1"/>
    <col min="9211" max="9211" width="16.85546875" style="26" customWidth="1"/>
    <col min="9212" max="9212" width="1.140625" style="26" customWidth="1"/>
    <col min="9213" max="9213" width="20.5703125" style="26" customWidth="1"/>
    <col min="9214" max="9214" width="17.5703125" style="26" customWidth="1"/>
    <col min="9215" max="9215" width="18.140625" style="26" customWidth="1"/>
    <col min="9216" max="9216" width="17.140625" style="26" customWidth="1"/>
    <col min="9217" max="9217" width="22.42578125" style="26" bestFit="1" customWidth="1"/>
    <col min="9218" max="9218" width="22.140625" style="26" customWidth="1"/>
    <col min="9219" max="9219" width="17.85546875" style="26" customWidth="1"/>
    <col min="9220" max="9220" width="22.42578125" style="26" customWidth="1"/>
    <col min="9221" max="9221" width="10.140625" style="26" bestFit="1" customWidth="1"/>
    <col min="9222" max="9222" width="13.42578125" style="26" customWidth="1"/>
    <col min="9223" max="9223" width="7.42578125" style="26" bestFit="1" customWidth="1"/>
    <col min="9224" max="9224" width="15.42578125" style="26" bestFit="1" customWidth="1"/>
    <col min="9225" max="9225" width="7.42578125" style="26" bestFit="1" customWidth="1"/>
    <col min="9226" max="9226" width="19.5703125" style="26" bestFit="1" customWidth="1"/>
    <col min="9227" max="9227" width="7.42578125" style="26" bestFit="1" customWidth="1"/>
    <col min="9228" max="9228" width="26.85546875" style="26" bestFit="1" customWidth="1"/>
    <col min="9229" max="9229" width="19.85546875" style="26" bestFit="1" customWidth="1"/>
    <col min="9230" max="9464" width="11.42578125" style="26"/>
    <col min="9465" max="9465" width="2.42578125" style="26" customWidth="1"/>
    <col min="9466" max="9466" width="49" style="26" customWidth="1"/>
    <col min="9467" max="9467" width="16.85546875" style="26" customWidth="1"/>
    <col min="9468" max="9468" width="1.140625" style="26" customWidth="1"/>
    <col min="9469" max="9469" width="20.5703125" style="26" customWidth="1"/>
    <col min="9470" max="9470" width="17.5703125" style="26" customWidth="1"/>
    <col min="9471" max="9471" width="18.140625" style="26" customWidth="1"/>
    <col min="9472" max="9472" width="17.140625" style="26" customWidth="1"/>
    <col min="9473" max="9473" width="22.42578125" style="26" bestFit="1" customWidth="1"/>
    <col min="9474" max="9474" width="22.140625" style="26" customWidth="1"/>
    <col min="9475" max="9475" width="17.85546875" style="26" customWidth="1"/>
    <col min="9476" max="9476" width="22.42578125" style="26" customWidth="1"/>
    <col min="9477" max="9477" width="10.140625" style="26" bestFit="1" customWidth="1"/>
    <col min="9478" max="9478" width="13.42578125" style="26" customWidth="1"/>
    <col min="9479" max="9479" width="7.42578125" style="26" bestFit="1" customWidth="1"/>
    <col min="9480" max="9480" width="15.42578125" style="26" bestFit="1" customWidth="1"/>
    <col min="9481" max="9481" width="7.42578125" style="26" bestFit="1" customWidth="1"/>
    <col min="9482" max="9482" width="19.5703125" style="26" bestFit="1" customWidth="1"/>
    <col min="9483" max="9483" width="7.42578125" style="26" bestFit="1" customWidth="1"/>
    <col min="9484" max="9484" width="26.85546875" style="26" bestFit="1" customWidth="1"/>
    <col min="9485" max="9485" width="19.85546875" style="26" bestFit="1" customWidth="1"/>
    <col min="9486" max="9720" width="11.42578125" style="26"/>
    <col min="9721" max="9721" width="2.42578125" style="26" customWidth="1"/>
    <col min="9722" max="9722" width="49" style="26" customWidth="1"/>
    <col min="9723" max="9723" width="16.85546875" style="26" customWidth="1"/>
    <col min="9724" max="9724" width="1.140625" style="26" customWidth="1"/>
    <col min="9725" max="9725" width="20.5703125" style="26" customWidth="1"/>
    <col min="9726" max="9726" width="17.5703125" style="26" customWidth="1"/>
    <col min="9727" max="9727" width="18.140625" style="26" customWidth="1"/>
    <col min="9728" max="9728" width="17.140625" style="26" customWidth="1"/>
    <col min="9729" max="9729" width="22.42578125" style="26" bestFit="1" customWidth="1"/>
    <col min="9730" max="9730" width="22.140625" style="26" customWidth="1"/>
    <col min="9731" max="9731" width="17.85546875" style="26" customWidth="1"/>
    <col min="9732" max="9732" width="22.42578125" style="26" customWidth="1"/>
    <col min="9733" max="9733" width="10.140625" style="26" bestFit="1" customWidth="1"/>
    <col min="9734" max="9734" width="13.42578125" style="26" customWidth="1"/>
    <col min="9735" max="9735" width="7.42578125" style="26" bestFit="1" customWidth="1"/>
    <col min="9736" max="9736" width="15.42578125" style="26" bestFit="1" customWidth="1"/>
    <col min="9737" max="9737" width="7.42578125" style="26" bestFit="1" customWidth="1"/>
    <col min="9738" max="9738" width="19.5703125" style="26" bestFit="1" customWidth="1"/>
    <col min="9739" max="9739" width="7.42578125" style="26" bestFit="1" customWidth="1"/>
    <col min="9740" max="9740" width="26.85546875" style="26" bestFit="1" customWidth="1"/>
    <col min="9741" max="9741" width="19.85546875" style="26" bestFit="1" customWidth="1"/>
    <col min="9742" max="9976" width="11.42578125" style="26"/>
    <col min="9977" max="9977" width="2.42578125" style="26" customWidth="1"/>
    <col min="9978" max="9978" width="49" style="26" customWidth="1"/>
    <col min="9979" max="9979" width="16.85546875" style="26" customWidth="1"/>
    <col min="9980" max="9980" width="1.140625" style="26" customWidth="1"/>
    <col min="9981" max="9981" width="20.5703125" style="26" customWidth="1"/>
    <col min="9982" max="9982" width="17.5703125" style="26" customWidth="1"/>
    <col min="9983" max="9983" width="18.140625" style="26" customWidth="1"/>
    <col min="9984" max="9984" width="17.140625" style="26" customWidth="1"/>
    <col min="9985" max="9985" width="22.42578125" style="26" bestFit="1" customWidth="1"/>
    <col min="9986" max="9986" width="22.140625" style="26" customWidth="1"/>
    <col min="9987" max="9987" width="17.85546875" style="26" customWidth="1"/>
    <col min="9988" max="9988" width="22.42578125" style="26" customWidth="1"/>
    <col min="9989" max="9989" width="10.140625" style="26" bestFit="1" customWidth="1"/>
    <col min="9990" max="9990" width="13.42578125" style="26" customWidth="1"/>
    <col min="9991" max="9991" width="7.42578125" style="26" bestFit="1" customWidth="1"/>
    <col min="9992" max="9992" width="15.42578125" style="26" bestFit="1" customWidth="1"/>
    <col min="9993" max="9993" width="7.42578125" style="26" bestFit="1" customWidth="1"/>
    <col min="9994" max="9994" width="19.5703125" style="26" bestFit="1" customWidth="1"/>
    <col min="9995" max="9995" width="7.42578125" style="26" bestFit="1" customWidth="1"/>
    <col min="9996" max="9996" width="26.85546875" style="26" bestFit="1" customWidth="1"/>
    <col min="9997" max="9997" width="19.85546875" style="26" bestFit="1" customWidth="1"/>
    <col min="9998" max="10232" width="11.42578125" style="26"/>
    <col min="10233" max="10233" width="2.42578125" style="26" customWidth="1"/>
    <col min="10234" max="10234" width="49" style="26" customWidth="1"/>
    <col min="10235" max="10235" width="16.85546875" style="26" customWidth="1"/>
    <col min="10236" max="10236" width="1.140625" style="26" customWidth="1"/>
    <col min="10237" max="10237" width="20.5703125" style="26" customWidth="1"/>
    <col min="10238" max="10238" width="17.5703125" style="26" customWidth="1"/>
    <col min="10239" max="10239" width="18.140625" style="26" customWidth="1"/>
    <col min="10240" max="10240" width="17.140625" style="26" customWidth="1"/>
    <col min="10241" max="10241" width="22.42578125" style="26" bestFit="1" customWidth="1"/>
    <col min="10242" max="10242" width="22.140625" style="26" customWidth="1"/>
    <col min="10243" max="10243" width="17.85546875" style="26" customWidth="1"/>
    <col min="10244" max="10244" width="22.42578125" style="26" customWidth="1"/>
    <col min="10245" max="10245" width="10.140625" style="26" bestFit="1" customWidth="1"/>
    <col min="10246" max="10246" width="13.42578125" style="26" customWidth="1"/>
    <col min="10247" max="10247" width="7.42578125" style="26" bestFit="1" customWidth="1"/>
    <col min="10248" max="10248" width="15.42578125" style="26" bestFit="1" customWidth="1"/>
    <col min="10249" max="10249" width="7.42578125" style="26" bestFit="1" customWidth="1"/>
    <col min="10250" max="10250" width="19.5703125" style="26" bestFit="1" customWidth="1"/>
    <col min="10251" max="10251" width="7.42578125" style="26" bestFit="1" customWidth="1"/>
    <col min="10252" max="10252" width="26.85546875" style="26" bestFit="1" customWidth="1"/>
    <col min="10253" max="10253" width="19.85546875" style="26" bestFit="1" customWidth="1"/>
    <col min="10254" max="10488" width="11.42578125" style="26"/>
    <col min="10489" max="10489" width="2.42578125" style="26" customWidth="1"/>
    <col min="10490" max="10490" width="49" style="26" customWidth="1"/>
    <col min="10491" max="10491" width="16.85546875" style="26" customWidth="1"/>
    <col min="10492" max="10492" width="1.140625" style="26" customWidth="1"/>
    <col min="10493" max="10493" width="20.5703125" style="26" customWidth="1"/>
    <col min="10494" max="10494" width="17.5703125" style="26" customWidth="1"/>
    <col min="10495" max="10495" width="18.140625" style="26" customWidth="1"/>
    <col min="10496" max="10496" width="17.140625" style="26" customWidth="1"/>
    <col min="10497" max="10497" width="22.42578125" style="26" bestFit="1" customWidth="1"/>
    <col min="10498" max="10498" width="22.140625" style="26" customWidth="1"/>
    <col min="10499" max="10499" width="17.85546875" style="26" customWidth="1"/>
    <col min="10500" max="10500" width="22.42578125" style="26" customWidth="1"/>
    <col min="10501" max="10501" width="10.140625" style="26" bestFit="1" customWidth="1"/>
    <col min="10502" max="10502" width="13.42578125" style="26" customWidth="1"/>
    <col min="10503" max="10503" width="7.42578125" style="26" bestFit="1" customWidth="1"/>
    <col min="10504" max="10504" width="15.42578125" style="26" bestFit="1" customWidth="1"/>
    <col min="10505" max="10505" width="7.42578125" style="26" bestFit="1" customWidth="1"/>
    <col min="10506" max="10506" width="19.5703125" style="26" bestFit="1" customWidth="1"/>
    <col min="10507" max="10507" width="7.42578125" style="26" bestFit="1" customWidth="1"/>
    <col min="10508" max="10508" width="26.85546875" style="26" bestFit="1" customWidth="1"/>
    <col min="10509" max="10509" width="19.85546875" style="26" bestFit="1" customWidth="1"/>
    <col min="10510" max="10744" width="11.42578125" style="26"/>
    <col min="10745" max="10745" width="2.42578125" style="26" customWidth="1"/>
    <col min="10746" max="10746" width="49" style="26" customWidth="1"/>
    <col min="10747" max="10747" width="16.85546875" style="26" customWidth="1"/>
    <col min="10748" max="10748" width="1.140625" style="26" customWidth="1"/>
    <col min="10749" max="10749" width="20.5703125" style="26" customWidth="1"/>
    <col min="10750" max="10750" width="17.5703125" style="26" customWidth="1"/>
    <col min="10751" max="10751" width="18.140625" style="26" customWidth="1"/>
    <col min="10752" max="10752" width="17.140625" style="26" customWidth="1"/>
    <col min="10753" max="10753" width="22.42578125" style="26" bestFit="1" customWidth="1"/>
    <col min="10754" max="10754" width="22.140625" style="26" customWidth="1"/>
    <col min="10755" max="10755" width="17.85546875" style="26" customWidth="1"/>
    <col min="10756" max="10756" width="22.42578125" style="26" customWidth="1"/>
    <col min="10757" max="10757" width="10.140625" style="26" bestFit="1" customWidth="1"/>
    <col min="10758" max="10758" width="13.42578125" style="26" customWidth="1"/>
    <col min="10759" max="10759" width="7.42578125" style="26" bestFit="1" customWidth="1"/>
    <col min="10760" max="10760" width="15.42578125" style="26" bestFit="1" customWidth="1"/>
    <col min="10761" max="10761" width="7.42578125" style="26" bestFit="1" customWidth="1"/>
    <col min="10762" max="10762" width="19.5703125" style="26" bestFit="1" customWidth="1"/>
    <col min="10763" max="10763" width="7.42578125" style="26" bestFit="1" customWidth="1"/>
    <col min="10764" max="10764" width="26.85546875" style="26" bestFit="1" customWidth="1"/>
    <col min="10765" max="10765" width="19.85546875" style="26" bestFit="1" customWidth="1"/>
    <col min="10766" max="11000" width="11.42578125" style="26"/>
    <col min="11001" max="11001" width="2.42578125" style="26" customWidth="1"/>
    <col min="11002" max="11002" width="49" style="26" customWidth="1"/>
    <col min="11003" max="11003" width="16.85546875" style="26" customWidth="1"/>
    <col min="11004" max="11004" width="1.140625" style="26" customWidth="1"/>
    <col min="11005" max="11005" width="20.5703125" style="26" customWidth="1"/>
    <col min="11006" max="11006" width="17.5703125" style="26" customWidth="1"/>
    <col min="11007" max="11007" width="18.140625" style="26" customWidth="1"/>
    <col min="11008" max="11008" width="17.140625" style="26" customWidth="1"/>
    <col min="11009" max="11009" width="22.42578125" style="26" bestFit="1" customWidth="1"/>
    <col min="11010" max="11010" width="22.140625" style="26" customWidth="1"/>
    <col min="11011" max="11011" width="17.85546875" style="26" customWidth="1"/>
    <col min="11012" max="11012" width="22.42578125" style="26" customWidth="1"/>
    <col min="11013" max="11013" width="10.140625" style="26" bestFit="1" customWidth="1"/>
    <col min="11014" max="11014" width="13.42578125" style="26" customWidth="1"/>
    <col min="11015" max="11015" width="7.42578125" style="26" bestFit="1" customWidth="1"/>
    <col min="11016" max="11016" width="15.42578125" style="26" bestFit="1" customWidth="1"/>
    <col min="11017" max="11017" width="7.42578125" style="26" bestFit="1" customWidth="1"/>
    <col min="11018" max="11018" width="19.5703125" style="26" bestFit="1" customWidth="1"/>
    <col min="11019" max="11019" width="7.42578125" style="26" bestFit="1" customWidth="1"/>
    <col min="11020" max="11020" width="26.85546875" style="26" bestFit="1" customWidth="1"/>
    <col min="11021" max="11021" width="19.85546875" style="26" bestFit="1" customWidth="1"/>
    <col min="11022" max="11256" width="11.42578125" style="26"/>
    <col min="11257" max="11257" width="2.42578125" style="26" customWidth="1"/>
    <col min="11258" max="11258" width="49" style="26" customWidth="1"/>
    <col min="11259" max="11259" width="16.85546875" style="26" customWidth="1"/>
    <col min="11260" max="11260" width="1.140625" style="26" customWidth="1"/>
    <col min="11261" max="11261" width="20.5703125" style="26" customWidth="1"/>
    <col min="11262" max="11262" width="17.5703125" style="26" customWidth="1"/>
    <col min="11263" max="11263" width="18.140625" style="26" customWidth="1"/>
    <col min="11264" max="11264" width="17.140625" style="26" customWidth="1"/>
    <col min="11265" max="11265" width="22.42578125" style="26" bestFit="1" customWidth="1"/>
    <col min="11266" max="11266" width="22.140625" style="26" customWidth="1"/>
    <col min="11267" max="11267" width="17.85546875" style="26" customWidth="1"/>
    <col min="11268" max="11268" width="22.42578125" style="26" customWidth="1"/>
    <col min="11269" max="11269" width="10.140625" style="26" bestFit="1" customWidth="1"/>
    <col min="11270" max="11270" width="13.42578125" style="26" customWidth="1"/>
    <col min="11271" max="11271" width="7.42578125" style="26" bestFit="1" customWidth="1"/>
    <col min="11272" max="11272" width="15.42578125" style="26" bestFit="1" customWidth="1"/>
    <col min="11273" max="11273" width="7.42578125" style="26" bestFit="1" customWidth="1"/>
    <col min="11274" max="11274" width="19.5703125" style="26" bestFit="1" customWidth="1"/>
    <col min="11275" max="11275" width="7.42578125" style="26" bestFit="1" customWidth="1"/>
    <col min="11276" max="11276" width="26.85546875" style="26" bestFit="1" customWidth="1"/>
    <col min="11277" max="11277" width="19.85546875" style="26" bestFit="1" customWidth="1"/>
    <col min="11278" max="11512" width="11.42578125" style="26"/>
    <col min="11513" max="11513" width="2.42578125" style="26" customWidth="1"/>
    <col min="11514" max="11514" width="49" style="26" customWidth="1"/>
    <col min="11515" max="11515" width="16.85546875" style="26" customWidth="1"/>
    <col min="11516" max="11516" width="1.140625" style="26" customWidth="1"/>
    <col min="11517" max="11517" width="20.5703125" style="26" customWidth="1"/>
    <col min="11518" max="11518" width="17.5703125" style="26" customWidth="1"/>
    <col min="11519" max="11519" width="18.140625" style="26" customWidth="1"/>
    <col min="11520" max="11520" width="17.140625" style="26" customWidth="1"/>
    <col min="11521" max="11521" width="22.42578125" style="26" bestFit="1" customWidth="1"/>
    <col min="11522" max="11522" width="22.140625" style="26" customWidth="1"/>
    <col min="11523" max="11523" width="17.85546875" style="26" customWidth="1"/>
    <col min="11524" max="11524" width="22.42578125" style="26" customWidth="1"/>
    <col min="11525" max="11525" width="10.140625" style="26" bestFit="1" customWidth="1"/>
    <col min="11526" max="11526" width="13.42578125" style="26" customWidth="1"/>
    <col min="11527" max="11527" width="7.42578125" style="26" bestFit="1" customWidth="1"/>
    <col min="11528" max="11528" width="15.42578125" style="26" bestFit="1" customWidth="1"/>
    <col min="11529" max="11529" width="7.42578125" style="26" bestFit="1" customWidth="1"/>
    <col min="11530" max="11530" width="19.5703125" style="26" bestFit="1" customWidth="1"/>
    <col min="11531" max="11531" width="7.42578125" style="26" bestFit="1" customWidth="1"/>
    <col min="11532" max="11532" width="26.85546875" style="26" bestFit="1" customWidth="1"/>
    <col min="11533" max="11533" width="19.85546875" style="26" bestFit="1" customWidth="1"/>
    <col min="11534" max="11768" width="11.42578125" style="26"/>
    <col min="11769" max="11769" width="2.42578125" style="26" customWidth="1"/>
    <col min="11770" max="11770" width="49" style="26" customWidth="1"/>
    <col min="11771" max="11771" width="16.85546875" style="26" customWidth="1"/>
    <col min="11772" max="11772" width="1.140625" style="26" customWidth="1"/>
    <col min="11773" max="11773" width="20.5703125" style="26" customWidth="1"/>
    <col min="11774" max="11774" width="17.5703125" style="26" customWidth="1"/>
    <col min="11775" max="11775" width="18.140625" style="26" customWidth="1"/>
    <col min="11776" max="11776" width="17.140625" style="26" customWidth="1"/>
    <col min="11777" max="11777" width="22.42578125" style="26" bestFit="1" customWidth="1"/>
    <col min="11778" max="11778" width="22.140625" style="26" customWidth="1"/>
    <col min="11779" max="11779" width="17.85546875" style="26" customWidth="1"/>
    <col min="11780" max="11780" width="22.42578125" style="26" customWidth="1"/>
    <col min="11781" max="11781" width="10.140625" style="26" bestFit="1" customWidth="1"/>
    <col min="11782" max="11782" width="13.42578125" style="26" customWidth="1"/>
    <col min="11783" max="11783" width="7.42578125" style="26" bestFit="1" customWidth="1"/>
    <col min="11784" max="11784" width="15.42578125" style="26" bestFit="1" customWidth="1"/>
    <col min="11785" max="11785" width="7.42578125" style="26" bestFit="1" customWidth="1"/>
    <col min="11786" max="11786" width="19.5703125" style="26" bestFit="1" customWidth="1"/>
    <col min="11787" max="11787" width="7.42578125" style="26" bestFit="1" customWidth="1"/>
    <col min="11788" max="11788" width="26.85546875" style="26" bestFit="1" customWidth="1"/>
    <col min="11789" max="11789" width="19.85546875" style="26" bestFit="1" customWidth="1"/>
    <col min="11790" max="12024" width="11.42578125" style="26"/>
    <col min="12025" max="12025" width="2.42578125" style="26" customWidth="1"/>
    <col min="12026" max="12026" width="49" style="26" customWidth="1"/>
    <col min="12027" max="12027" width="16.85546875" style="26" customWidth="1"/>
    <col min="12028" max="12028" width="1.140625" style="26" customWidth="1"/>
    <col min="12029" max="12029" width="20.5703125" style="26" customWidth="1"/>
    <col min="12030" max="12030" width="17.5703125" style="26" customWidth="1"/>
    <col min="12031" max="12031" width="18.140625" style="26" customWidth="1"/>
    <col min="12032" max="12032" width="17.140625" style="26" customWidth="1"/>
    <col min="12033" max="12033" width="22.42578125" style="26" bestFit="1" customWidth="1"/>
    <col min="12034" max="12034" width="22.140625" style="26" customWidth="1"/>
    <col min="12035" max="12035" width="17.85546875" style="26" customWidth="1"/>
    <col min="12036" max="12036" width="22.42578125" style="26" customWidth="1"/>
    <col min="12037" max="12037" width="10.140625" style="26" bestFit="1" customWidth="1"/>
    <col min="12038" max="12038" width="13.42578125" style="26" customWidth="1"/>
    <col min="12039" max="12039" width="7.42578125" style="26" bestFit="1" customWidth="1"/>
    <col min="12040" max="12040" width="15.42578125" style="26" bestFit="1" customWidth="1"/>
    <col min="12041" max="12041" width="7.42578125" style="26" bestFit="1" customWidth="1"/>
    <col min="12042" max="12042" width="19.5703125" style="26" bestFit="1" customWidth="1"/>
    <col min="12043" max="12043" width="7.42578125" style="26" bestFit="1" customWidth="1"/>
    <col min="12044" max="12044" width="26.85546875" style="26" bestFit="1" customWidth="1"/>
    <col min="12045" max="12045" width="19.85546875" style="26" bestFit="1" customWidth="1"/>
    <col min="12046" max="12280" width="11.42578125" style="26"/>
    <col min="12281" max="12281" width="2.42578125" style="26" customWidth="1"/>
    <col min="12282" max="12282" width="49" style="26" customWidth="1"/>
    <col min="12283" max="12283" width="16.85546875" style="26" customWidth="1"/>
    <col min="12284" max="12284" width="1.140625" style="26" customWidth="1"/>
    <col min="12285" max="12285" width="20.5703125" style="26" customWidth="1"/>
    <col min="12286" max="12286" width="17.5703125" style="26" customWidth="1"/>
    <col min="12287" max="12287" width="18.140625" style="26" customWidth="1"/>
    <col min="12288" max="12288" width="17.140625" style="26" customWidth="1"/>
    <col min="12289" max="12289" width="22.42578125" style="26" bestFit="1" customWidth="1"/>
    <col min="12290" max="12290" width="22.140625" style="26" customWidth="1"/>
    <col min="12291" max="12291" width="17.85546875" style="26" customWidth="1"/>
    <col min="12292" max="12292" width="22.42578125" style="26" customWidth="1"/>
    <col min="12293" max="12293" width="10.140625" style="26" bestFit="1" customWidth="1"/>
    <col min="12294" max="12294" width="13.42578125" style="26" customWidth="1"/>
    <col min="12295" max="12295" width="7.42578125" style="26" bestFit="1" customWidth="1"/>
    <col min="12296" max="12296" width="15.42578125" style="26" bestFit="1" customWidth="1"/>
    <col min="12297" max="12297" width="7.42578125" style="26" bestFit="1" customWidth="1"/>
    <col min="12298" max="12298" width="19.5703125" style="26" bestFit="1" customWidth="1"/>
    <col min="12299" max="12299" width="7.42578125" style="26" bestFit="1" customWidth="1"/>
    <col min="12300" max="12300" width="26.85546875" style="26" bestFit="1" customWidth="1"/>
    <col min="12301" max="12301" width="19.85546875" style="26" bestFit="1" customWidth="1"/>
    <col min="12302" max="12536" width="11.42578125" style="26"/>
    <col min="12537" max="12537" width="2.42578125" style="26" customWidth="1"/>
    <col min="12538" max="12538" width="49" style="26" customWidth="1"/>
    <col min="12539" max="12539" width="16.85546875" style="26" customWidth="1"/>
    <col min="12540" max="12540" width="1.140625" style="26" customWidth="1"/>
    <col min="12541" max="12541" width="20.5703125" style="26" customWidth="1"/>
    <col min="12542" max="12542" width="17.5703125" style="26" customWidth="1"/>
    <col min="12543" max="12543" width="18.140625" style="26" customWidth="1"/>
    <col min="12544" max="12544" width="17.140625" style="26" customWidth="1"/>
    <col min="12545" max="12545" width="22.42578125" style="26" bestFit="1" customWidth="1"/>
    <col min="12546" max="12546" width="22.140625" style="26" customWidth="1"/>
    <col min="12547" max="12547" width="17.85546875" style="26" customWidth="1"/>
    <col min="12548" max="12548" width="22.42578125" style="26" customWidth="1"/>
    <col min="12549" max="12549" width="10.140625" style="26" bestFit="1" customWidth="1"/>
    <col min="12550" max="12550" width="13.42578125" style="26" customWidth="1"/>
    <col min="12551" max="12551" width="7.42578125" style="26" bestFit="1" customWidth="1"/>
    <col min="12552" max="12552" width="15.42578125" style="26" bestFit="1" customWidth="1"/>
    <col min="12553" max="12553" width="7.42578125" style="26" bestFit="1" customWidth="1"/>
    <col min="12554" max="12554" width="19.5703125" style="26" bestFit="1" customWidth="1"/>
    <col min="12555" max="12555" width="7.42578125" style="26" bestFit="1" customWidth="1"/>
    <col min="12556" max="12556" width="26.85546875" style="26" bestFit="1" customWidth="1"/>
    <col min="12557" max="12557" width="19.85546875" style="26" bestFit="1" customWidth="1"/>
    <col min="12558" max="12792" width="11.42578125" style="26"/>
    <col min="12793" max="12793" width="2.42578125" style="26" customWidth="1"/>
    <col min="12794" max="12794" width="49" style="26" customWidth="1"/>
    <col min="12795" max="12795" width="16.85546875" style="26" customWidth="1"/>
    <col min="12796" max="12796" width="1.140625" style="26" customWidth="1"/>
    <col min="12797" max="12797" width="20.5703125" style="26" customWidth="1"/>
    <col min="12798" max="12798" width="17.5703125" style="26" customWidth="1"/>
    <col min="12799" max="12799" width="18.140625" style="26" customWidth="1"/>
    <col min="12800" max="12800" width="17.140625" style="26" customWidth="1"/>
    <col min="12801" max="12801" width="22.42578125" style="26" bestFit="1" customWidth="1"/>
    <col min="12802" max="12802" width="22.140625" style="26" customWidth="1"/>
    <col min="12803" max="12803" width="17.85546875" style="26" customWidth="1"/>
    <col min="12804" max="12804" width="22.42578125" style="26" customWidth="1"/>
    <col min="12805" max="12805" width="10.140625" style="26" bestFit="1" customWidth="1"/>
    <col min="12806" max="12806" width="13.42578125" style="26" customWidth="1"/>
    <col min="12807" max="12807" width="7.42578125" style="26" bestFit="1" customWidth="1"/>
    <col min="12808" max="12808" width="15.42578125" style="26" bestFit="1" customWidth="1"/>
    <col min="12809" max="12809" width="7.42578125" style="26" bestFit="1" customWidth="1"/>
    <col min="12810" max="12810" width="19.5703125" style="26" bestFit="1" customWidth="1"/>
    <col min="12811" max="12811" width="7.42578125" style="26" bestFit="1" customWidth="1"/>
    <col min="12812" max="12812" width="26.85546875" style="26" bestFit="1" customWidth="1"/>
    <col min="12813" max="12813" width="19.85546875" style="26" bestFit="1" customWidth="1"/>
    <col min="12814" max="13048" width="11.42578125" style="26"/>
    <col min="13049" max="13049" width="2.42578125" style="26" customWidth="1"/>
    <col min="13050" max="13050" width="49" style="26" customWidth="1"/>
    <col min="13051" max="13051" width="16.85546875" style="26" customWidth="1"/>
    <col min="13052" max="13052" width="1.140625" style="26" customWidth="1"/>
    <col min="13053" max="13053" width="20.5703125" style="26" customWidth="1"/>
    <col min="13054" max="13054" width="17.5703125" style="26" customWidth="1"/>
    <col min="13055" max="13055" width="18.140625" style="26" customWidth="1"/>
    <col min="13056" max="13056" width="17.140625" style="26" customWidth="1"/>
    <col min="13057" max="13057" width="22.42578125" style="26" bestFit="1" customWidth="1"/>
    <col min="13058" max="13058" width="22.140625" style="26" customWidth="1"/>
    <col min="13059" max="13059" width="17.85546875" style="26" customWidth="1"/>
    <col min="13060" max="13060" width="22.42578125" style="26" customWidth="1"/>
    <col min="13061" max="13061" width="10.140625" style="26" bestFit="1" customWidth="1"/>
    <col min="13062" max="13062" width="13.42578125" style="26" customWidth="1"/>
    <col min="13063" max="13063" width="7.42578125" style="26" bestFit="1" customWidth="1"/>
    <col min="13064" max="13064" width="15.42578125" style="26" bestFit="1" customWidth="1"/>
    <col min="13065" max="13065" width="7.42578125" style="26" bestFit="1" customWidth="1"/>
    <col min="13066" max="13066" width="19.5703125" style="26" bestFit="1" customWidth="1"/>
    <col min="13067" max="13067" width="7.42578125" style="26" bestFit="1" customWidth="1"/>
    <col min="13068" max="13068" width="26.85546875" style="26" bestFit="1" customWidth="1"/>
    <col min="13069" max="13069" width="19.85546875" style="26" bestFit="1" customWidth="1"/>
    <col min="13070" max="13304" width="11.42578125" style="26"/>
    <col min="13305" max="13305" width="2.42578125" style="26" customWidth="1"/>
    <col min="13306" max="13306" width="49" style="26" customWidth="1"/>
    <col min="13307" max="13307" width="16.85546875" style="26" customWidth="1"/>
    <col min="13308" max="13308" width="1.140625" style="26" customWidth="1"/>
    <col min="13309" max="13309" width="20.5703125" style="26" customWidth="1"/>
    <col min="13310" max="13310" width="17.5703125" style="26" customWidth="1"/>
    <col min="13311" max="13311" width="18.140625" style="26" customWidth="1"/>
    <col min="13312" max="13312" width="17.140625" style="26" customWidth="1"/>
    <col min="13313" max="13313" width="22.42578125" style="26" bestFit="1" customWidth="1"/>
    <col min="13314" max="13314" width="22.140625" style="26" customWidth="1"/>
    <col min="13315" max="13315" width="17.85546875" style="26" customWidth="1"/>
    <col min="13316" max="13316" width="22.42578125" style="26" customWidth="1"/>
    <col min="13317" max="13317" width="10.140625" style="26" bestFit="1" customWidth="1"/>
    <col min="13318" max="13318" width="13.42578125" style="26" customWidth="1"/>
    <col min="13319" max="13319" width="7.42578125" style="26" bestFit="1" customWidth="1"/>
    <col min="13320" max="13320" width="15.42578125" style="26" bestFit="1" customWidth="1"/>
    <col min="13321" max="13321" width="7.42578125" style="26" bestFit="1" customWidth="1"/>
    <col min="13322" max="13322" width="19.5703125" style="26" bestFit="1" customWidth="1"/>
    <col min="13323" max="13323" width="7.42578125" style="26" bestFit="1" customWidth="1"/>
    <col min="13324" max="13324" width="26.85546875" style="26" bestFit="1" customWidth="1"/>
    <col min="13325" max="13325" width="19.85546875" style="26" bestFit="1" customWidth="1"/>
    <col min="13326" max="13560" width="11.42578125" style="26"/>
    <col min="13561" max="13561" width="2.42578125" style="26" customWidth="1"/>
    <col min="13562" max="13562" width="49" style="26" customWidth="1"/>
    <col min="13563" max="13563" width="16.85546875" style="26" customWidth="1"/>
    <col min="13564" max="13564" width="1.140625" style="26" customWidth="1"/>
    <col min="13565" max="13565" width="20.5703125" style="26" customWidth="1"/>
    <col min="13566" max="13566" width="17.5703125" style="26" customWidth="1"/>
    <col min="13567" max="13567" width="18.140625" style="26" customWidth="1"/>
    <col min="13568" max="13568" width="17.140625" style="26" customWidth="1"/>
    <col min="13569" max="13569" width="22.42578125" style="26" bestFit="1" customWidth="1"/>
    <col min="13570" max="13570" width="22.140625" style="26" customWidth="1"/>
    <col min="13571" max="13571" width="17.85546875" style="26" customWidth="1"/>
    <col min="13572" max="13572" width="22.42578125" style="26" customWidth="1"/>
    <col min="13573" max="13573" width="10.140625" style="26" bestFit="1" customWidth="1"/>
    <col min="13574" max="13574" width="13.42578125" style="26" customWidth="1"/>
    <col min="13575" max="13575" width="7.42578125" style="26" bestFit="1" customWidth="1"/>
    <col min="13576" max="13576" width="15.42578125" style="26" bestFit="1" customWidth="1"/>
    <col min="13577" max="13577" width="7.42578125" style="26" bestFit="1" customWidth="1"/>
    <col min="13578" max="13578" width="19.5703125" style="26" bestFit="1" customWidth="1"/>
    <col min="13579" max="13579" width="7.42578125" style="26" bestFit="1" customWidth="1"/>
    <col min="13580" max="13580" width="26.85546875" style="26" bestFit="1" customWidth="1"/>
    <col min="13581" max="13581" width="19.85546875" style="26" bestFit="1" customWidth="1"/>
    <col min="13582" max="13816" width="11.42578125" style="26"/>
    <col min="13817" max="13817" width="2.42578125" style="26" customWidth="1"/>
    <col min="13818" max="13818" width="49" style="26" customWidth="1"/>
    <col min="13819" max="13819" width="16.85546875" style="26" customWidth="1"/>
    <col min="13820" max="13820" width="1.140625" style="26" customWidth="1"/>
    <col min="13821" max="13821" width="20.5703125" style="26" customWidth="1"/>
    <col min="13822" max="13822" width="17.5703125" style="26" customWidth="1"/>
    <col min="13823" max="13823" width="18.140625" style="26" customWidth="1"/>
    <col min="13824" max="13824" width="17.140625" style="26" customWidth="1"/>
    <col min="13825" max="13825" width="22.42578125" style="26" bestFit="1" customWidth="1"/>
    <col min="13826" max="13826" width="22.140625" style="26" customWidth="1"/>
    <col min="13827" max="13827" width="17.85546875" style="26" customWidth="1"/>
    <col min="13828" max="13828" width="22.42578125" style="26" customWidth="1"/>
    <col min="13829" max="13829" width="10.140625" style="26" bestFit="1" customWidth="1"/>
    <col min="13830" max="13830" width="13.42578125" style="26" customWidth="1"/>
    <col min="13831" max="13831" width="7.42578125" style="26" bestFit="1" customWidth="1"/>
    <col min="13832" max="13832" width="15.42578125" style="26" bestFit="1" customWidth="1"/>
    <col min="13833" max="13833" width="7.42578125" style="26" bestFit="1" customWidth="1"/>
    <col min="13834" max="13834" width="19.5703125" style="26" bestFit="1" customWidth="1"/>
    <col min="13835" max="13835" width="7.42578125" style="26" bestFit="1" customWidth="1"/>
    <col min="13836" max="13836" width="26.85546875" style="26" bestFit="1" customWidth="1"/>
    <col min="13837" max="13837" width="19.85546875" style="26" bestFit="1" customWidth="1"/>
    <col min="13838" max="14072" width="11.42578125" style="26"/>
    <col min="14073" max="14073" width="2.42578125" style="26" customWidth="1"/>
    <col min="14074" max="14074" width="49" style="26" customWidth="1"/>
    <col min="14075" max="14075" width="16.85546875" style="26" customWidth="1"/>
    <col min="14076" max="14076" width="1.140625" style="26" customWidth="1"/>
    <col min="14077" max="14077" width="20.5703125" style="26" customWidth="1"/>
    <col min="14078" max="14078" width="17.5703125" style="26" customWidth="1"/>
    <col min="14079" max="14079" width="18.140625" style="26" customWidth="1"/>
    <col min="14080" max="14080" width="17.140625" style="26" customWidth="1"/>
    <col min="14081" max="14081" width="22.42578125" style="26" bestFit="1" customWidth="1"/>
    <col min="14082" max="14082" width="22.140625" style="26" customWidth="1"/>
    <col min="14083" max="14083" width="17.85546875" style="26" customWidth="1"/>
    <col min="14084" max="14084" width="22.42578125" style="26" customWidth="1"/>
    <col min="14085" max="14085" width="10.140625" style="26" bestFit="1" customWidth="1"/>
    <col min="14086" max="14086" width="13.42578125" style="26" customWidth="1"/>
    <col min="14087" max="14087" width="7.42578125" style="26" bestFit="1" customWidth="1"/>
    <col min="14088" max="14088" width="15.42578125" style="26" bestFit="1" customWidth="1"/>
    <col min="14089" max="14089" width="7.42578125" style="26" bestFit="1" customWidth="1"/>
    <col min="14090" max="14090" width="19.5703125" style="26" bestFit="1" customWidth="1"/>
    <col min="14091" max="14091" width="7.42578125" style="26" bestFit="1" customWidth="1"/>
    <col min="14092" max="14092" width="26.85546875" style="26" bestFit="1" customWidth="1"/>
    <col min="14093" max="14093" width="19.85546875" style="26" bestFit="1" customWidth="1"/>
    <col min="14094" max="14328" width="11.42578125" style="26"/>
    <col min="14329" max="14329" width="2.42578125" style="26" customWidth="1"/>
    <col min="14330" max="14330" width="49" style="26" customWidth="1"/>
    <col min="14331" max="14331" width="16.85546875" style="26" customWidth="1"/>
    <col min="14332" max="14332" width="1.140625" style="26" customWidth="1"/>
    <col min="14333" max="14333" width="20.5703125" style="26" customWidth="1"/>
    <col min="14334" max="14334" width="17.5703125" style="26" customWidth="1"/>
    <col min="14335" max="14335" width="18.140625" style="26" customWidth="1"/>
    <col min="14336" max="14336" width="17.140625" style="26" customWidth="1"/>
    <col min="14337" max="14337" width="22.42578125" style="26" bestFit="1" customWidth="1"/>
    <col min="14338" max="14338" width="22.140625" style="26" customWidth="1"/>
    <col min="14339" max="14339" width="17.85546875" style="26" customWidth="1"/>
    <col min="14340" max="14340" width="22.42578125" style="26" customWidth="1"/>
    <col min="14341" max="14341" width="10.140625" style="26" bestFit="1" customWidth="1"/>
    <col min="14342" max="14342" width="13.42578125" style="26" customWidth="1"/>
    <col min="14343" max="14343" width="7.42578125" style="26" bestFit="1" customWidth="1"/>
    <col min="14344" max="14344" width="15.42578125" style="26" bestFit="1" customWidth="1"/>
    <col min="14345" max="14345" width="7.42578125" style="26" bestFit="1" customWidth="1"/>
    <col min="14346" max="14346" width="19.5703125" style="26" bestFit="1" customWidth="1"/>
    <col min="14347" max="14347" width="7.42578125" style="26" bestFit="1" customWidth="1"/>
    <col min="14348" max="14348" width="26.85546875" style="26" bestFit="1" customWidth="1"/>
    <col min="14349" max="14349" width="19.85546875" style="26" bestFit="1" customWidth="1"/>
    <col min="14350" max="14584" width="11.42578125" style="26"/>
    <col min="14585" max="14585" width="2.42578125" style="26" customWidth="1"/>
    <col min="14586" max="14586" width="49" style="26" customWidth="1"/>
    <col min="14587" max="14587" width="16.85546875" style="26" customWidth="1"/>
    <col min="14588" max="14588" width="1.140625" style="26" customWidth="1"/>
    <col min="14589" max="14589" width="20.5703125" style="26" customWidth="1"/>
    <col min="14590" max="14590" width="17.5703125" style="26" customWidth="1"/>
    <col min="14591" max="14591" width="18.140625" style="26" customWidth="1"/>
    <col min="14592" max="14592" width="17.140625" style="26" customWidth="1"/>
    <col min="14593" max="14593" width="22.42578125" style="26" bestFit="1" customWidth="1"/>
    <col min="14594" max="14594" width="22.140625" style="26" customWidth="1"/>
    <col min="14595" max="14595" width="17.85546875" style="26" customWidth="1"/>
    <col min="14596" max="14596" width="22.42578125" style="26" customWidth="1"/>
    <col min="14597" max="14597" width="10.140625" style="26" bestFit="1" customWidth="1"/>
    <col min="14598" max="14598" width="13.42578125" style="26" customWidth="1"/>
    <col min="14599" max="14599" width="7.42578125" style="26" bestFit="1" customWidth="1"/>
    <col min="14600" max="14600" width="15.42578125" style="26" bestFit="1" customWidth="1"/>
    <col min="14601" max="14601" width="7.42578125" style="26" bestFit="1" customWidth="1"/>
    <col min="14602" max="14602" width="19.5703125" style="26" bestFit="1" customWidth="1"/>
    <col min="14603" max="14603" width="7.42578125" style="26" bestFit="1" customWidth="1"/>
    <col min="14604" max="14604" width="26.85546875" style="26" bestFit="1" customWidth="1"/>
    <col min="14605" max="14605" width="19.85546875" style="26" bestFit="1" customWidth="1"/>
    <col min="14606" max="14840" width="11.42578125" style="26"/>
    <col min="14841" max="14841" width="2.42578125" style="26" customWidth="1"/>
    <col min="14842" max="14842" width="49" style="26" customWidth="1"/>
    <col min="14843" max="14843" width="16.85546875" style="26" customWidth="1"/>
    <col min="14844" max="14844" width="1.140625" style="26" customWidth="1"/>
    <col min="14845" max="14845" width="20.5703125" style="26" customWidth="1"/>
    <col min="14846" max="14846" width="17.5703125" style="26" customWidth="1"/>
    <col min="14847" max="14847" width="18.140625" style="26" customWidth="1"/>
    <col min="14848" max="14848" width="17.140625" style="26" customWidth="1"/>
    <col min="14849" max="14849" width="22.42578125" style="26" bestFit="1" customWidth="1"/>
    <col min="14850" max="14850" width="22.140625" style="26" customWidth="1"/>
    <col min="14851" max="14851" width="17.85546875" style="26" customWidth="1"/>
    <col min="14852" max="14852" width="22.42578125" style="26" customWidth="1"/>
    <col min="14853" max="14853" width="10.140625" style="26" bestFit="1" customWidth="1"/>
    <col min="14854" max="14854" width="13.42578125" style="26" customWidth="1"/>
    <col min="14855" max="14855" width="7.42578125" style="26" bestFit="1" customWidth="1"/>
    <col min="14856" max="14856" width="15.42578125" style="26" bestFit="1" customWidth="1"/>
    <col min="14857" max="14857" width="7.42578125" style="26" bestFit="1" customWidth="1"/>
    <col min="14858" max="14858" width="19.5703125" style="26" bestFit="1" customWidth="1"/>
    <col min="14859" max="14859" width="7.42578125" style="26" bestFit="1" customWidth="1"/>
    <col min="14860" max="14860" width="26.85546875" style="26" bestFit="1" customWidth="1"/>
    <col min="14861" max="14861" width="19.85546875" style="26" bestFit="1" customWidth="1"/>
    <col min="14862" max="15096" width="11.42578125" style="26"/>
    <col min="15097" max="15097" width="2.42578125" style="26" customWidth="1"/>
    <col min="15098" max="15098" width="49" style="26" customWidth="1"/>
    <col min="15099" max="15099" width="16.85546875" style="26" customWidth="1"/>
    <col min="15100" max="15100" width="1.140625" style="26" customWidth="1"/>
    <col min="15101" max="15101" width="20.5703125" style="26" customWidth="1"/>
    <col min="15102" max="15102" width="17.5703125" style="26" customWidth="1"/>
    <col min="15103" max="15103" width="18.140625" style="26" customWidth="1"/>
    <col min="15104" max="15104" width="17.140625" style="26" customWidth="1"/>
    <col min="15105" max="15105" width="22.42578125" style="26" bestFit="1" customWidth="1"/>
    <col min="15106" max="15106" width="22.140625" style="26" customWidth="1"/>
    <col min="15107" max="15107" width="17.85546875" style="26" customWidth="1"/>
    <col min="15108" max="15108" width="22.42578125" style="26" customWidth="1"/>
    <col min="15109" max="15109" width="10.140625" style="26" bestFit="1" customWidth="1"/>
    <col min="15110" max="15110" width="13.42578125" style="26" customWidth="1"/>
    <col min="15111" max="15111" width="7.42578125" style="26" bestFit="1" customWidth="1"/>
    <col min="15112" max="15112" width="15.42578125" style="26" bestFit="1" customWidth="1"/>
    <col min="15113" max="15113" width="7.42578125" style="26" bestFit="1" customWidth="1"/>
    <col min="15114" max="15114" width="19.5703125" style="26" bestFit="1" customWidth="1"/>
    <col min="15115" max="15115" width="7.42578125" style="26" bestFit="1" customWidth="1"/>
    <col min="15116" max="15116" width="26.85546875" style="26" bestFit="1" customWidth="1"/>
    <col min="15117" max="15117" width="19.85546875" style="26" bestFit="1" customWidth="1"/>
    <col min="15118" max="15352" width="11.42578125" style="26"/>
    <col min="15353" max="15353" width="2.42578125" style="26" customWidth="1"/>
    <col min="15354" max="15354" width="49" style="26" customWidth="1"/>
    <col min="15355" max="15355" width="16.85546875" style="26" customWidth="1"/>
    <col min="15356" max="15356" width="1.140625" style="26" customWidth="1"/>
    <col min="15357" max="15357" width="20.5703125" style="26" customWidth="1"/>
    <col min="15358" max="15358" width="17.5703125" style="26" customWidth="1"/>
    <col min="15359" max="15359" width="18.140625" style="26" customWidth="1"/>
    <col min="15360" max="15360" width="17.140625" style="26" customWidth="1"/>
    <col min="15361" max="15361" width="22.42578125" style="26" bestFit="1" customWidth="1"/>
    <col min="15362" max="15362" width="22.140625" style="26" customWidth="1"/>
    <col min="15363" max="15363" width="17.85546875" style="26" customWidth="1"/>
    <col min="15364" max="15364" width="22.42578125" style="26" customWidth="1"/>
    <col min="15365" max="15365" width="10.140625" style="26" bestFit="1" customWidth="1"/>
    <col min="15366" max="15366" width="13.42578125" style="26" customWidth="1"/>
    <col min="15367" max="15367" width="7.42578125" style="26" bestFit="1" customWidth="1"/>
    <col min="15368" max="15368" width="15.42578125" style="26" bestFit="1" customWidth="1"/>
    <col min="15369" max="15369" width="7.42578125" style="26" bestFit="1" customWidth="1"/>
    <col min="15370" max="15370" width="19.5703125" style="26" bestFit="1" customWidth="1"/>
    <col min="15371" max="15371" width="7.42578125" style="26" bestFit="1" customWidth="1"/>
    <col min="15372" max="15372" width="26.85546875" style="26" bestFit="1" customWidth="1"/>
    <col min="15373" max="15373" width="19.85546875" style="26" bestFit="1" customWidth="1"/>
    <col min="15374" max="15608" width="11.42578125" style="26"/>
    <col min="15609" max="15609" width="2.42578125" style="26" customWidth="1"/>
    <col min="15610" max="15610" width="49" style="26" customWidth="1"/>
    <col min="15611" max="15611" width="16.85546875" style="26" customWidth="1"/>
    <col min="15612" max="15612" width="1.140625" style="26" customWidth="1"/>
    <col min="15613" max="15613" width="20.5703125" style="26" customWidth="1"/>
    <col min="15614" max="15614" width="17.5703125" style="26" customWidth="1"/>
    <col min="15615" max="15615" width="18.140625" style="26" customWidth="1"/>
    <col min="15616" max="15616" width="17.140625" style="26" customWidth="1"/>
    <col min="15617" max="15617" width="22.42578125" style="26" bestFit="1" customWidth="1"/>
    <col min="15618" max="15618" width="22.140625" style="26" customWidth="1"/>
    <col min="15619" max="15619" width="17.85546875" style="26" customWidth="1"/>
    <col min="15620" max="15620" width="22.42578125" style="26" customWidth="1"/>
    <col min="15621" max="15621" width="10.140625" style="26" bestFit="1" customWidth="1"/>
    <col min="15622" max="15622" width="13.42578125" style="26" customWidth="1"/>
    <col min="15623" max="15623" width="7.42578125" style="26" bestFit="1" customWidth="1"/>
    <col min="15624" max="15624" width="15.42578125" style="26" bestFit="1" customWidth="1"/>
    <col min="15625" max="15625" width="7.42578125" style="26" bestFit="1" customWidth="1"/>
    <col min="15626" max="15626" width="19.5703125" style="26" bestFit="1" customWidth="1"/>
    <col min="15627" max="15627" width="7.42578125" style="26" bestFit="1" customWidth="1"/>
    <col min="15628" max="15628" width="26.85546875" style="26" bestFit="1" customWidth="1"/>
    <col min="15629" max="15629" width="19.85546875" style="26" bestFit="1" customWidth="1"/>
    <col min="15630" max="15864" width="11.42578125" style="26"/>
    <col min="15865" max="15865" width="2.42578125" style="26" customWidth="1"/>
    <col min="15866" max="15866" width="49" style="26" customWidth="1"/>
    <col min="15867" max="15867" width="16.85546875" style="26" customWidth="1"/>
    <col min="15868" max="15868" width="1.140625" style="26" customWidth="1"/>
    <col min="15869" max="15869" width="20.5703125" style="26" customWidth="1"/>
    <col min="15870" max="15870" width="17.5703125" style="26" customWidth="1"/>
    <col min="15871" max="15871" width="18.140625" style="26" customWidth="1"/>
    <col min="15872" max="15872" width="17.140625" style="26" customWidth="1"/>
    <col min="15873" max="15873" width="22.42578125" style="26" bestFit="1" customWidth="1"/>
    <col min="15874" max="15874" width="22.140625" style="26" customWidth="1"/>
    <col min="15875" max="15875" width="17.85546875" style="26" customWidth="1"/>
    <col min="15876" max="15876" width="22.42578125" style="26" customWidth="1"/>
    <col min="15877" max="15877" width="10.140625" style="26" bestFit="1" customWidth="1"/>
    <col min="15878" max="15878" width="13.42578125" style="26" customWidth="1"/>
    <col min="15879" max="15879" width="7.42578125" style="26" bestFit="1" customWidth="1"/>
    <col min="15880" max="15880" width="15.42578125" style="26" bestFit="1" customWidth="1"/>
    <col min="15881" max="15881" width="7.42578125" style="26" bestFit="1" customWidth="1"/>
    <col min="15882" max="15882" width="19.5703125" style="26" bestFit="1" customWidth="1"/>
    <col min="15883" max="15883" width="7.42578125" style="26" bestFit="1" customWidth="1"/>
    <col min="15884" max="15884" width="26.85546875" style="26" bestFit="1" customWidth="1"/>
    <col min="15885" max="15885" width="19.85546875" style="26" bestFit="1" customWidth="1"/>
    <col min="15886" max="16120" width="11.42578125" style="26"/>
    <col min="16121" max="16121" width="2.42578125" style="26" customWidth="1"/>
    <col min="16122" max="16122" width="49" style="26" customWidth="1"/>
    <col min="16123" max="16123" width="16.85546875" style="26" customWidth="1"/>
    <col min="16124" max="16124" width="1.140625" style="26" customWidth="1"/>
    <col min="16125" max="16125" width="20.5703125" style="26" customWidth="1"/>
    <col min="16126" max="16126" width="17.5703125" style="26" customWidth="1"/>
    <col min="16127" max="16127" width="18.140625" style="26" customWidth="1"/>
    <col min="16128" max="16128" width="17.140625" style="26" customWidth="1"/>
    <col min="16129" max="16129" width="22.42578125" style="26" bestFit="1" customWidth="1"/>
    <col min="16130" max="16130" width="22.140625" style="26" customWidth="1"/>
    <col min="16131" max="16131" width="17.85546875" style="26" customWidth="1"/>
    <col min="16132" max="16132" width="22.42578125" style="26" customWidth="1"/>
    <col min="16133" max="16133" width="10.140625" style="26" bestFit="1" customWidth="1"/>
    <col min="16134" max="16134" width="13.42578125" style="26" customWidth="1"/>
    <col min="16135" max="16135" width="7.42578125" style="26" bestFit="1" customWidth="1"/>
    <col min="16136" max="16136" width="15.42578125" style="26" bestFit="1" customWidth="1"/>
    <col min="16137" max="16137" width="7.42578125" style="26" bestFit="1" customWidth="1"/>
    <col min="16138" max="16138" width="19.5703125" style="26" bestFit="1" customWidth="1"/>
    <col min="16139" max="16139" width="7.42578125" style="26" bestFit="1" customWidth="1"/>
    <col min="16140" max="16140" width="26.85546875" style="26" bestFit="1" customWidth="1"/>
    <col min="16141" max="16141" width="19.85546875" style="26" bestFit="1" customWidth="1"/>
    <col min="16142" max="16384" width="11.42578125" style="26"/>
  </cols>
  <sheetData>
    <row r="3" spans="3:15" s="27" customFormat="1" ht="13.5" customHeight="1" x14ac:dyDescent="0.2">
      <c r="C3" s="148"/>
      <c r="D3" s="148"/>
      <c r="E3" s="148"/>
      <c r="F3" s="148"/>
      <c r="G3" s="148"/>
      <c r="H3" s="148"/>
      <c r="I3" s="101" t="s">
        <v>4</v>
      </c>
      <c r="K3" s="101" t="e">
        <f>#REF!</f>
        <v>#REF!</v>
      </c>
      <c r="O3" s="180"/>
    </row>
    <row r="4" spans="3:15" s="27" customFormat="1" x14ac:dyDescent="0.2">
      <c r="I4" s="101" t="s">
        <v>23</v>
      </c>
      <c r="K4" s="101" t="e">
        <f>EOMONTH(K3,-1)</f>
        <v>#REF!</v>
      </c>
      <c r="O4" s="180"/>
    </row>
    <row r="5" spans="3:15" s="27" customFormat="1" x14ac:dyDescent="0.2">
      <c r="I5" s="101" t="s">
        <v>0</v>
      </c>
      <c r="K5" s="216" t="e">
        <f>'00 - Cover'!#REF!</f>
        <v>#REF!</v>
      </c>
      <c r="L5" s="217"/>
    </row>
    <row r="6" spans="3:15" s="27" customFormat="1" x14ac:dyDescent="0.2"/>
    <row r="7" spans="3:15" s="27" customFormat="1" ht="13.5" customHeight="1" x14ac:dyDescent="0.2"/>
    <row r="8" spans="3:15" ht="15.75" x14ac:dyDescent="0.2">
      <c r="C8" s="1296" t="s">
        <v>24</v>
      </c>
      <c r="D8" s="1297"/>
      <c r="E8" s="1297"/>
      <c r="F8" s="1297"/>
      <c r="G8" s="1297"/>
      <c r="H8" s="1297"/>
      <c r="I8" s="1297"/>
      <c r="J8" s="1297"/>
      <c r="K8" s="1297"/>
    </row>
    <row r="9" spans="3:15" ht="9.75" customHeight="1" x14ac:dyDescent="0.2">
      <c r="M9" s="35"/>
    </row>
    <row r="10" spans="3:15" s="38" customFormat="1" x14ac:dyDescent="0.2">
      <c r="C10" s="26"/>
      <c r="D10" s="26"/>
      <c r="E10" s="26"/>
      <c r="F10" s="26"/>
      <c r="G10" s="26"/>
      <c r="H10" s="26"/>
      <c r="I10" s="26"/>
      <c r="J10" s="26"/>
      <c r="K10" s="26"/>
    </row>
    <row r="11" spans="3:15" s="38" customFormat="1" ht="15.6" customHeight="1" x14ac:dyDescent="0.2">
      <c r="C11" s="218" t="s">
        <v>25</v>
      </c>
      <c r="D11" s="218" t="s">
        <v>26</v>
      </c>
      <c r="E11" s="219" t="s">
        <v>27</v>
      </c>
      <c r="F11" s="255" t="s">
        <v>85</v>
      </c>
      <c r="G11" s="218" t="s">
        <v>3</v>
      </c>
      <c r="H11" s="218" t="s">
        <v>28</v>
      </c>
      <c r="I11" s="218" t="s">
        <v>29</v>
      </c>
      <c r="J11" s="220"/>
      <c r="K11" s="220" t="s">
        <v>30</v>
      </c>
    </row>
    <row r="12" spans="3:15" ht="15.6" customHeight="1" x14ac:dyDescent="0.2">
      <c r="C12" s="222" t="e">
        <f>IF(D12="BQ",$K$5,$K$3)</f>
        <v>#REF!</v>
      </c>
      <c r="D12" s="223" t="s">
        <v>31</v>
      </c>
      <c r="E12" s="224" t="s">
        <v>32</v>
      </c>
      <c r="F12" s="224"/>
      <c r="G12" s="225" t="s">
        <v>33</v>
      </c>
      <c r="H12" s="226" t="e">
        <f>VLOOKUP($K$3,#REF!,#REF!,FALSE)</f>
        <v>#REF!</v>
      </c>
      <c r="I12" s="226"/>
      <c r="K12" s="165" t="e">
        <f>IF(H58=I58,"OK",H58-I58)</f>
        <v>#REF!</v>
      </c>
      <c r="M12" s="38"/>
    </row>
    <row r="13" spans="3:15" ht="15.6" customHeight="1" x14ac:dyDescent="0.2">
      <c r="C13" s="222" t="e">
        <f>IF(D13="BQ",$K$5,$K$3)</f>
        <v>#REF!</v>
      </c>
      <c r="D13" s="223" t="s">
        <v>31</v>
      </c>
      <c r="E13" s="224" t="s">
        <v>36</v>
      </c>
      <c r="F13" s="224"/>
      <c r="G13" s="225" t="s">
        <v>33</v>
      </c>
      <c r="H13" s="226"/>
      <c r="I13" s="226" t="e">
        <f>VLOOKUP($K$3,#REF!,#REF!,FALSE)</f>
        <v>#REF!</v>
      </c>
      <c r="K13" s="46"/>
      <c r="M13" s="38"/>
    </row>
    <row r="14" spans="3:15" ht="15.6" customHeight="1" x14ac:dyDescent="0.2">
      <c r="C14" s="232"/>
      <c r="D14" s="233"/>
      <c r="E14" s="234"/>
      <c r="F14" s="234"/>
      <c r="G14" s="235"/>
      <c r="H14" s="236"/>
      <c r="I14" s="236"/>
      <c r="K14" s="46"/>
      <c r="M14" s="38"/>
    </row>
    <row r="15" spans="3:15" ht="15.6" customHeight="1" x14ac:dyDescent="0.2">
      <c r="C15" s="222" t="e">
        <f t="shared" ref="C15" si="0">IF(D15="BQ",$K$5,$K$3)</f>
        <v>#REF!</v>
      </c>
      <c r="D15" s="223" t="s">
        <v>31</v>
      </c>
      <c r="E15" s="224" t="s">
        <v>34</v>
      </c>
      <c r="F15" s="224"/>
      <c r="G15" s="225" t="s">
        <v>35</v>
      </c>
      <c r="H15" s="226" t="e">
        <f>VLOOKUP($K$3,#REF!,#REF!,FALSE)</f>
        <v>#REF!</v>
      </c>
      <c r="I15" s="226"/>
      <c r="M15" s="38"/>
    </row>
    <row r="16" spans="3:15" ht="15.6" customHeight="1" x14ac:dyDescent="0.2">
      <c r="C16" s="222" t="e">
        <f>IF(D16="BQ",$K$5,$K$3)</f>
        <v>#REF!</v>
      </c>
      <c r="D16" s="223" t="s">
        <v>31</v>
      </c>
      <c r="E16" s="224" t="s">
        <v>38</v>
      </c>
      <c r="F16" s="224"/>
      <c r="G16" s="225" t="s">
        <v>35</v>
      </c>
      <c r="H16" s="226"/>
      <c r="I16" s="226" t="e">
        <f>VLOOKUP($K$3,#REF!,#REF!,FALSE)+VLOOKUP($K$3,#REF!,#REF!,FALSE)</f>
        <v>#REF!</v>
      </c>
      <c r="M16" s="38"/>
    </row>
    <row r="17" spans="3:13" ht="15.6" customHeight="1" x14ac:dyDescent="0.2">
      <c r="C17" s="232"/>
      <c r="D17" s="233"/>
      <c r="E17" s="234"/>
      <c r="F17" s="234"/>
      <c r="G17" s="235"/>
      <c r="H17" s="236"/>
      <c r="I17" s="236"/>
      <c r="M17" s="38"/>
    </row>
    <row r="18" spans="3:13" ht="15.6" customHeight="1" x14ac:dyDescent="0.2">
      <c r="C18" s="222" t="e">
        <f>IF(D18="BQ",$K$5,$K$3)</f>
        <v>#REF!</v>
      </c>
      <c r="D18" s="223" t="s">
        <v>31</v>
      </c>
      <c r="E18" s="224" t="s">
        <v>39</v>
      </c>
      <c r="F18" s="224"/>
      <c r="G18" s="225" t="s">
        <v>40</v>
      </c>
      <c r="H18" s="226"/>
      <c r="I18" s="226" t="e">
        <f>VLOOKUP($K$3,#REF!,#REF!,FALSE)</f>
        <v>#REF!</v>
      </c>
    </row>
    <row r="19" spans="3:13" ht="15.6" customHeight="1" x14ac:dyDescent="0.2">
      <c r="C19" s="222" t="e">
        <f>IF(D19="BQ",$K$5,$K$3)</f>
        <v>#REF!</v>
      </c>
      <c r="D19" s="223" t="s">
        <v>31</v>
      </c>
      <c r="E19" s="224" t="s">
        <v>72</v>
      </c>
      <c r="F19" s="224"/>
      <c r="G19" s="225" t="s">
        <v>73</v>
      </c>
      <c r="H19" s="226" t="e">
        <f>VLOOKUP($K$3,#REF!,#REF!,FALSE)</f>
        <v>#REF!</v>
      </c>
      <c r="I19" s="226"/>
    </row>
    <row r="20" spans="3:13" ht="15.6" customHeight="1" x14ac:dyDescent="0.2">
      <c r="C20" s="232"/>
      <c r="D20" s="233"/>
      <c r="E20" s="234"/>
      <c r="F20" s="234"/>
      <c r="G20" s="235"/>
      <c r="H20" s="236"/>
      <c r="I20" s="236"/>
    </row>
    <row r="21" spans="3:13" ht="15.6" customHeight="1" x14ac:dyDescent="0.2">
      <c r="C21" s="222" t="e">
        <f>IF(D21="BQ",$K$5,$K$3)</f>
        <v>#REF!</v>
      </c>
      <c r="D21" s="223" t="s">
        <v>31</v>
      </c>
      <c r="E21" s="224" t="s">
        <v>41</v>
      </c>
      <c r="F21" s="224"/>
      <c r="G21" s="225" t="s">
        <v>42</v>
      </c>
      <c r="H21" s="226"/>
      <c r="I21" s="226" t="e">
        <f>VLOOKUP($K$3,#REF!,#REF!,FALSE)</f>
        <v>#REF!</v>
      </c>
    </row>
    <row r="22" spans="3:13" ht="15.6" customHeight="1" x14ac:dyDescent="0.2">
      <c r="C22" s="222" t="e">
        <f>IF(D22="BQ",$K$5,$K$3)</f>
        <v>#REF!</v>
      </c>
      <c r="D22" s="223" t="s">
        <v>31</v>
      </c>
      <c r="E22" s="224" t="s">
        <v>76</v>
      </c>
      <c r="F22" s="224"/>
      <c r="G22" s="225" t="s">
        <v>77</v>
      </c>
      <c r="H22" s="226" t="e">
        <f>VLOOKUP($K$3,#REF!,#REF!,FALSE)</f>
        <v>#REF!</v>
      </c>
      <c r="I22" s="226"/>
    </row>
    <row r="23" spans="3:13" ht="15.6" customHeight="1" x14ac:dyDescent="0.2">
      <c r="C23" s="232"/>
      <c r="D23" s="233"/>
      <c r="E23" s="234"/>
      <c r="F23" s="234"/>
      <c r="G23" s="235"/>
      <c r="H23" s="236"/>
      <c r="I23" s="236"/>
    </row>
    <row r="24" spans="3:13" ht="15.6" customHeight="1" x14ac:dyDescent="0.2">
      <c r="C24" s="227" t="e">
        <f t="shared" ref="C24:C29" si="1">IF(D24="BQ",$K$5,$K$3)</f>
        <v>#REF!</v>
      </c>
      <c r="D24" s="228" t="s">
        <v>31</v>
      </c>
      <c r="E24" s="229" t="s">
        <v>53</v>
      </c>
      <c r="F24" s="229"/>
      <c r="G24" s="230" t="s">
        <v>54</v>
      </c>
      <c r="H24" s="231"/>
      <c r="I24" s="231" t="e">
        <f>VLOOKUP($K$3,#REF!,#REF!,FALSE)+VLOOKUP($K$3,#REF!,#REF!,FALSE)+VLOOKUP($K$3,#REF!,#REF!,FALSE)+VLOOKUP($K$3,#REF!,#REF!,FALSE)</f>
        <v>#REF!</v>
      </c>
    </row>
    <row r="25" spans="3:13" ht="15.6" customHeight="1" x14ac:dyDescent="0.2">
      <c r="C25" s="227" t="e">
        <f t="shared" si="1"/>
        <v>#REF!</v>
      </c>
      <c r="D25" s="228" t="s">
        <v>31</v>
      </c>
      <c r="E25" s="229" t="s">
        <v>61</v>
      </c>
      <c r="F25" s="229"/>
      <c r="G25" s="230" t="s">
        <v>62</v>
      </c>
      <c r="H25" s="231" t="e">
        <f>VLOOKUP($K$3,#REF!,#REF!,FALSE)</f>
        <v>#REF!</v>
      </c>
      <c r="I25" s="231"/>
    </row>
    <row r="26" spans="3:13" ht="15.6" customHeight="1" x14ac:dyDescent="0.2">
      <c r="C26" s="227" t="e">
        <f t="shared" si="1"/>
        <v>#REF!</v>
      </c>
      <c r="D26" s="228" t="s">
        <v>31</v>
      </c>
      <c r="E26" s="229" t="s">
        <v>63</v>
      </c>
      <c r="F26" s="229"/>
      <c r="G26" s="230" t="s">
        <v>64</v>
      </c>
      <c r="H26" s="231" t="e">
        <f>VLOOKUP($K$3,#REF!,#REF!,FALSE)</f>
        <v>#REF!</v>
      </c>
      <c r="I26" s="231"/>
    </row>
    <row r="27" spans="3:13" ht="15.6" customHeight="1" x14ac:dyDescent="0.2">
      <c r="C27" s="227" t="e">
        <f t="shared" si="1"/>
        <v>#REF!</v>
      </c>
      <c r="D27" s="228" t="s">
        <v>31</v>
      </c>
      <c r="E27" s="229" t="s">
        <v>65</v>
      </c>
      <c r="F27" s="229"/>
      <c r="G27" s="230" t="s">
        <v>66</v>
      </c>
      <c r="H27" s="231" t="e">
        <f>VLOOKUP($K$3,#REF!,#REF!,FALSE)</f>
        <v>#REF!</v>
      </c>
      <c r="I27" s="231"/>
    </row>
    <row r="28" spans="3:13" ht="15.6" customHeight="1" x14ac:dyDescent="0.2">
      <c r="C28" s="227" t="e">
        <f t="shared" si="1"/>
        <v>#REF!</v>
      </c>
      <c r="D28" s="228" t="s">
        <v>31</v>
      </c>
      <c r="E28" s="229" t="s">
        <v>70</v>
      </c>
      <c r="F28" s="229"/>
      <c r="G28" s="230" t="s">
        <v>71</v>
      </c>
      <c r="H28" s="231" t="e">
        <f>VLOOKUP($K$3,#REF!,#REF!,FALSE)</f>
        <v>#REF!</v>
      </c>
      <c r="I28" s="231"/>
    </row>
    <row r="29" spans="3:13" ht="15.6" customHeight="1" x14ac:dyDescent="0.2">
      <c r="C29" s="240" t="e">
        <f t="shared" si="1"/>
        <v>#REF!</v>
      </c>
      <c r="D29" s="241" t="s">
        <v>31</v>
      </c>
      <c r="E29" s="242" t="s">
        <v>67</v>
      </c>
      <c r="F29" s="242"/>
      <c r="G29" s="243" t="s">
        <v>68</v>
      </c>
      <c r="H29" s="244" t="e">
        <f>VLOOKUP($K$3,#REF!,#REF!,FALSE)</f>
        <v>#REF!</v>
      </c>
      <c r="I29" s="244"/>
      <c r="J29" s="245"/>
      <c r="K29" s="245" t="e">
        <f>SUM(H24:H29)</f>
        <v>#REF!</v>
      </c>
      <c r="L29" s="245" t="e">
        <f>SUM(I24:I29)</f>
        <v>#REF!</v>
      </c>
      <c r="M29" s="246" t="e">
        <f>L29=K29</f>
        <v>#REF!</v>
      </c>
    </row>
    <row r="30" spans="3:13" ht="15.6" customHeight="1" x14ac:dyDescent="0.2">
      <c r="C30" s="232"/>
      <c r="D30" s="233"/>
      <c r="E30" s="234"/>
      <c r="F30" s="234"/>
      <c r="G30" s="235"/>
      <c r="H30" s="236"/>
      <c r="I30" s="236"/>
      <c r="M30" s="239"/>
    </row>
    <row r="31" spans="3:13" ht="15.6" customHeight="1" x14ac:dyDescent="0.2">
      <c r="C31" s="222" t="e">
        <f>IF(D31="BQ",$K$5,$K$3)</f>
        <v>#REF!</v>
      </c>
      <c r="D31" s="223" t="s">
        <v>31</v>
      </c>
      <c r="E31" s="224" t="s">
        <v>51</v>
      </c>
      <c r="F31" s="224"/>
      <c r="G31" s="225" t="s">
        <v>52</v>
      </c>
      <c r="H31" s="226"/>
      <c r="I31" s="226" t="e">
        <f>VLOOKUP($K$3,#REF!,#REF!,FALSE)</f>
        <v>#REF!</v>
      </c>
    </row>
    <row r="32" spans="3:13" ht="15.6" customHeight="1" x14ac:dyDescent="0.2">
      <c r="C32" s="222" t="e">
        <f>IF(D32="BQ",$K$5,$K$3)</f>
        <v>#REF!</v>
      </c>
      <c r="D32" s="223" t="s">
        <v>31</v>
      </c>
      <c r="E32" s="224" t="s">
        <v>69</v>
      </c>
      <c r="F32" s="224"/>
      <c r="G32" s="225" t="s">
        <v>52</v>
      </c>
      <c r="H32" s="226" t="e">
        <f>VLOOKUP($K$3,#REF!,#REF!,FALSE)</f>
        <v>#REF!</v>
      </c>
      <c r="I32" s="226"/>
    </row>
    <row r="33" spans="3:14" ht="15.6" customHeight="1" x14ac:dyDescent="0.2">
      <c r="C33" s="232"/>
      <c r="D33" s="233"/>
      <c r="E33" s="234"/>
      <c r="F33" s="234"/>
      <c r="G33" s="235"/>
      <c r="H33" s="236"/>
      <c r="I33" s="236"/>
    </row>
    <row r="34" spans="3:14" ht="15.6" customHeight="1" x14ac:dyDescent="0.2">
      <c r="C34" s="222" t="e">
        <f>IF(D34="BQ",$K$5,$K$3)</f>
        <v>#REF!</v>
      </c>
      <c r="D34" s="223" t="s">
        <v>31</v>
      </c>
      <c r="E34" s="224" t="s">
        <v>78</v>
      </c>
      <c r="F34" s="224"/>
      <c r="G34" s="225" t="s">
        <v>50</v>
      </c>
      <c r="H34" s="226"/>
      <c r="I34" s="226" t="e">
        <f>VLOOKUP($K$3,#REF!,#REF!,FALSE)</f>
        <v>#REF!</v>
      </c>
    </row>
    <row r="35" spans="3:14" ht="15.6" customHeight="1" x14ac:dyDescent="0.2">
      <c r="C35" s="222" t="e">
        <f>IF(D35="BQ",$K$5,$K$3)</f>
        <v>#REF!</v>
      </c>
      <c r="D35" s="223" t="s">
        <v>31</v>
      </c>
      <c r="E35" s="224" t="s">
        <v>49</v>
      </c>
      <c r="F35" s="224"/>
      <c r="G35" s="225" t="s">
        <v>50</v>
      </c>
      <c r="H35" s="226" t="e">
        <f>VLOOKUP($K$3,#REF!,#REF!,FALSE)</f>
        <v>#REF!</v>
      </c>
      <c r="I35" s="226"/>
    </row>
    <row r="36" spans="3:14" ht="15.6" customHeight="1" x14ac:dyDescent="0.2">
      <c r="C36" s="232"/>
      <c r="D36" s="233"/>
      <c r="E36" s="234"/>
      <c r="F36" s="234"/>
      <c r="G36" s="235"/>
      <c r="H36" s="236"/>
      <c r="I36" s="236"/>
    </row>
    <row r="37" spans="3:14" ht="15.6" customHeight="1" x14ac:dyDescent="0.2">
      <c r="C37" s="227" t="e">
        <f t="shared" ref="C37:C44" si="2">IF(D37="BQ",$K$5,$K$3)</f>
        <v>#REF!</v>
      </c>
      <c r="D37" s="228" t="s">
        <v>31</v>
      </c>
      <c r="E37" s="229" t="s">
        <v>43</v>
      </c>
      <c r="F37" s="229"/>
      <c r="G37" s="230" t="s">
        <v>44</v>
      </c>
      <c r="H37" s="231"/>
      <c r="I37" s="237" t="e">
        <f>IF(K3&gt;=DATE(2021,4,30),VLOOKUP($K$3,#REF!,#REF!,FALSE)-VLOOKUP($K$3,#REF!,#REF!,FALSE),VLOOKUP($K$3,#REF!,#REF!,FALSE)+VLOOKUP($K$3,#REF!,#REF!,FALSE))</f>
        <v>#REF!</v>
      </c>
    </row>
    <row r="38" spans="3:14" ht="15.6" customHeight="1" x14ac:dyDescent="0.2">
      <c r="C38" s="227" t="e">
        <f t="shared" si="2"/>
        <v>#REF!</v>
      </c>
      <c r="D38" s="228" t="s">
        <v>31</v>
      </c>
      <c r="E38" s="229" t="s">
        <v>45</v>
      </c>
      <c r="F38" s="229"/>
      <c r="G38" s="230" t="s">
        <v>46</v>
      </c>
      <c r="H38" s="231"/>
      <c r="I38" s="237" t="e">
        <f>VLOOKUP($K$3,#REF!,#REF!,FALSE)</f>
        <v>#REF!</v>
      </c>
    </row>
    <row r="39" spans="3:14" ht="15.6" customHeight="1" x14ac:dyDescent="0.2">
      <c r="C39" s="227" t="e">
        <f t="shared" si="2"/>
        <v>#REF!</v>
      </c>
      <c r="D39" s="228" t="s">
        <v>31</v>
      </c>
      <c r="E39" s="229" t="s">
        <v>47</v>
      </c>
      <c r="F39" s="229"/>
      <c r="G39" s="230" t="s">
        <v>48</v>
      </c>
      <c r="H39" s="237"/>
      <c r="I39" s="237" t="e">
        <f>VLOOKUP($K$3,#REF!,#REF!,FALSE)+VLOOKUP($K$3,#REF!,#REF!,FALSE)+VLOOKUP($K$3,#REF!,#REF!,FALSE)</f>
        <v>#REF!</v>
      </c>
    </row>
    <row r="40" spans="3:14" ht="15.6" customHeight="1" x14ac:dyDescent="0.2">
      <c r="C40" s="227" t="e">
        <f t="shared" si="2"/>
        <v>#REF!</v>
      </c>
      <c r="D40" s="228" t="s">
        <v>31</v>
      </c>
      <c r="E40" s="229" t="s">
        <v>81</v>
      </c>
      <c r="F40" s="229"/>
      <c r="G40" s="230" t="s">
        <v>82</v>
      </c>
      <c r="H40" s="231"/>
      <c r="I40" s="237" t="e">
        <f>VLOOKUP($K$3,#REF!,#REF!,FALSE)</f>
        <v>#REF!</v>
      </c>
    </row>
    <row r="41" spans="3:14" ht="15.6" customHeight="1" x14ac:dyDescent="0.2">
      <c r="C41" s="227" t="e">
        <f t="shared" si="2"/>
        <v>#REF!</v>
      </c>
      <c r="D41" s="228" t="s">
        <v>31</v>
      </c>
      <c r="E41" s="229" t="s">
        <v>83</v>
      </c>
      <c r="F41" s="229"/>
      <c r="G41" s="230" t="s">
        <v>84</v>
      </c>
      <c r="H41" s="231"/>
      <c r="I41" s="231" t="e">
        <f>VLOOKUP($K$3,#REF!,#REF!,FALSE)</f>
        <v>#REF!</v>
      </c>
    </row>
    <row r="42" spans="3:14" ht="15.6" customHeight="1" x14ac:dyDescent="0.2">
      <c r="C42" s="227" t="e">
        <f t="shared" si="2"/>
        <v>#REF!</v>
      </c>
      <c r="D42" s="228" t="s">
        <v>31</v>
      </c>
      <c r="E42" s="229" t="s">
        <v>47</v>
      </c>
      <c r="F42" s="229"/>
      <c r="G42" s="230" t="s">
        <v>48</v>
      </c>
      <c r="H42" s="237" t="e">
        <f>VLOOKUP($K$3,#REF!,#REF!,FALSE)</f>
        <v>#REF!</v>
      </c>
      <c r="I42" s="237"/>
    </row>
    <row r="43" spans="3:14" ht="15.6" customHeight="1" x14ac:dyDescent="0.2">
      <c r="C43" s="227" t="e">
        <f t="shared" si="2"/>
        <v>#REF!</v>
      </c>
      <c r="D43" s="228" t="s">
        <v>31</v>
      </c>
      <c r="E43" s="229" t="s">
        <v>55</v>
      </c>
      <c r="F43" s="229"/>
      <c r="G43" s="230" t="s">
        <v>56</v>
      </c>
      <c r="H43" s="237" t="e">
        <f>VLOOKUP($K$3,#REF!,#REF!,FALSE)</f>
        <v>#REF!</v>
      </c>
      <c r="I43" s="237"/>
    </row>
    <row r="44" spans="3:14" ht="15.6" customHeight="1" x14ac:dyDescent="0.2">
      <c r="C44" s="240" t="e">
        <f t="shared" si="2"/>
        <v>#REF!</v>
      </c>
      <c r="D44" s="241" t="s">
        <v>31</v>
      </c>
      <c r="E44" s="242" t="s">
        <v>74</v>
      </c>
      <c r="F44" s="242"/>
      <c r="G44" s="243" t="s">
        <v>75</v>
      </c>
      <c r="H44" s="247" t="e">
        <f>VLOOKUP($K$3,#REF!,#REF!,FALSE)</f>
        <v>#REF!</v>
      </c>
      <c r="I44" s="247"/>
      <c r="J44" s="245"/>
      <c r="K44" s="245" t="e">
        <f>SUM(H37:H44)</f>
        <v>#REF!</v>
      </c>
      <c r="L44" s="245" t="e">
        <f>SUM(I37:I44)</f>
        <v>#REF!</v>
      </c>
      <c r="M44" s="246" t="e">
        <f>IF(ABS(L44-K44)&lt;0.01,"TRUE","NOT TRUE")</f>
        <v>#REF!</v>
      </c>
    </row>
    <row r="45" spans="3:14" ht="15.6" customHeight="1" x14ac:dyDescent="0.2">
      <c r="C45" s="232"/>
      <c r="D45" s="233"/>
      <c r="E45" s="234"/>
      <c r="F45" s="234"/>
      <c r="G45" s="235"/>
      <c r="H45" s="236"/>
      <c r="I45" s="236"/>
      <c r="M45" s="239"/>
    </row>
    <row r="46" spans="3:14" ht="15.6" customHeight="1" x14ac:dyDescent="0.2">
      <c r="C46" s="222" t="e">
        <f>IF(D46="BQ",$K$5,$K$3)</f>
        <v>#REF!</v>
      </c>
      <c r="D46" s="223" t="s">
        <v>31</v>
      </c>
      <c r="E46" s="224" t="s">
        <v>57</v>
      </c>
      <c r="F46" s="224"/>
      <c r="G46" s="225" t="s">
        <v>58</v>
      </c>
      <c r="H46" s="226" t="e">
        <f>VLOOKUP($K$3,#REF!,#REF!,FALSE)</f>
        <v>#REF!</v>
      </c>
      <c r="I46" s="238"/>
    </row>
    <row r="47" spans="3:14" ht="15.6" customHeight="1" x14ac:dyDescent="0.2">
      <c r="C47" s="222" t="e">
        <f>IF(D47="BQ",$K$5,$K$3)</f>
        <v>#REF!</v>
      </c>
      <c r="D47" s="223" t="s">
        <v>31</v>
      </c>
      <c r="E47" s="224" t="s">
        <v>79</v>
      </c>
      <c r="F47" s="224"/>
      <c r="G47" s="225" t="s">
        <v>80</v>
      </c>
      <c r="H47" s="226"/>
      <c r="I47" s="226" t="e">
        <f>VLOOKUP($K$3,#REF!,#REF!,FALSE)</f>
        <v>#REF!</v>
      </c>
      <c r="L47" s="96"/>
      <c r="M47" s="93"/>
      <c r="N47" s="100"/>
    </row>
    <row r="48" spans="3:14" ht="15.6" customHeight="1" x14ac:dyDescent="0.2">
      <c r="C48" s="232"/>
      <c r="D48" s="233"/>
      <c r="E48" s="234"/>
      <c r="F48" s="234"/>
      <c r="G48" s="235"/>
      <c r="H48" s="236"/>
      <c r="I48" s="236"/>
      <c r="L48" s="96"/>
      <c r="M48" s="93"/>
      <c r="N48" s="100"/>
    </row>
    <row r="49" spans="3:14" ht="15.6" customHeight="1" x14ac:dyDescent="0.2">
      <c r="C49" s="222" t="e">
        <f>IF(D49="BQ",$K$5,$K$3)</f>
        <v>#REF!</v>
      </c>
      <c r="D49" s="223" t="s">
        <v>37</v>
      </c>
      <c r="E49" s="224" t="s">
        <v>59</v>
      </c>
      <c r="F49" s="224"/>
      <c r="G49" s="225" t="s">
        <v>60</v>
      </c>
      <c r="H49" s="226" t="e">
        <f>VLOOKUP($K$4,#REF!,#REF!,FALSE)</f>
        <v>#REF!</v>
      </c>
      <c r="I49" s="238"/>
      <c r="L49" s="96"/>
      <c r="M49" s="93"/>
      <c r="N49" s="100"/>
    </row>
    <row r="50" spans="3:14" ht="15.6" customHeight="1" x14ac:dyDescent="0.2">
      <c r="C50" s="222" t="e">
        <f>IF(D50="BQ",$K$5,$K$3)</f>
        <v>#REF!</v>
      </c>
      <c r="D50" s="223" t="s">
        <v>37</v>
      </c>
      <c r="E50" s="224" t="s">
        <v>55</v>
      </c>
      <c r="F50" s="224"/>
      <c r="G50" s="225" t="s">
        <v>56</v>
      </c>
      <c r="H50" s="226"/>
      <c r="I50" s="226" t="e">
        <f>VLOOKUP($K$4,#REF!,#REF!,FALSE)</f>
        <v>#REF!</v>
      </c>
      <c r="L50" s="96"/>
      <c r="M50" s="93"/>
      <c r="N50" s="100"/>
    </row>
    <row r="51" spans="3:14" ht="15.6" customHeight="1" x14ac:dyDescent="0.2">
      <c r="C51" s="232"/>
      <c r="D51" s="233"/>
      <c r="E51" s="234"/>
      <c r="F51" s="234"/>
      <c r="G51" s="235"/>
      <c r="H51" s="236"/>
      <c r="I51" s="236"/>
      <c r="L51" s="96"/>
      <c r="M51" s="93"/>
      <c r="N51" s="100"/>
    </row>
    <row r="52" spans="3:14" ht="15.6" customHeight="1" x14ac:dyDescent="0.2">
      <c r="C52" s="227" t="e">
        <f>IF(D52="BQ",$K$5,$K$3)</f>
        <v>#REF!</v>
      </c>
      <c r="D52" s="228" t="s">
        <v>37</v>
      </c>
      <c r="E52" s="229" t="s">
        <v>36</v>
      </c>
      <c r="F52" s="229"/>
      <c r="G52" s="230" t="s">
        <v>33</v>
      </c>
      <c r="H52" s="231" t="e">
        <f>VLOOKUP($K$4,#REF!,#REF!,FALSE)</f>
        <v>#REF!</v>
      </c>
      <c r="I52" s="237"/>
      <c r="L52" s="96"/>
      <c r="M52" s="93"/>
      <c r="N52" s="100"/>
    </row>
    <row r="53" spans="3:14" ht="15.6" customHeight="1" x14ac:dyDescent="0.2">
      <c r="C53" s="227" t="e">
        <f>IF(D53="BQ",$K$5,$K$3)</f>
        <v>#REF!</v>
      </c>
      <c r="D53" s="228" t="s">
        <v>37</v>
      </c>
      <c r="E53" s="229" t="s">
        <v>38</v>
      </c>
      <c r="F53" s="229"/>
      <c r="G53" s="230" t="s">
        <v>35</v>
      </c>
      <c r="H53" s="231" t="e">
        <f>VLOOKUP($K$4,#REF!,#REF!,FALSE)+VLOOKUP($K$4,#REF!,#REF!,FALSE)</f>
        <v>#REF!</v>
      </c>
      <c r="I53" s="237"/>
      <c r="L53" s="96"/>
      <c r="M53" s="93"/>
      <c r="N53" s="100"/>
    </row>
    <row r="54" spans="3:14" ht="15.6" customHeight="1" x14ac:dyDescent="0.2">
      <c r="C54" s="227" t="e">
        <f>IF(D54="BQ",$K$5,$K$3)</f>
        <v>#REF!</v>
      </c>
      <c r="D54" s="228" t="s">
        <v>37</v>
      </c>
      <c r="E54" s="229" t="s">
        <v>39</v>
      </c>
      <c r="F54" s="229"/>
      <c r="G54" s="230" t="s">
        <v>40</v>
      </c>
      <c r="H54" s="237" t="e">
        <f>VLOOKUP($K$4,#REF!,#REF!,FALSE)</f>
        <v>#REF!</v>
      </c>
      <c r="I54" s="237"/>
      <c r="L54" s="96"/>
      <c r="M54" s="93"/>
      <c r="N54" s="100"/>
    </row>
    <row r="55" spans="3:14" ht="15.6" customHeight="1" x14ac:dyDescent="0.2">
      <c r="C55" s="227" t="e">
        <f>IF(D55="BQ",$K$5,$K$3)</f>
        <v>#REF!</v>
      </c>
      <c r="D55" s="228" t="s">
        <v>37</v>
      </c>
      <c r="E55" s="229" t="s">
        <v>41</v>
      </c>
      <c r="F55" s="229"/>
      <c r="G55" s="230" t="s">
        <v>42</v>
      </c>
      <c r="H55" s="237" t="e">
        <f>VLOOKUP($K$4,#REF!,#REF!,FALSE)</f>
        <v>#REF!</v>
      </c>
      <c r="I55" s="231"/>
      <c r="L55" s="96"/>
      <c r="M55" s="93"/>
      <c r="N55" s="100"/>
    </row>
    <row r="56" spans="3:14" ht="15.6" customHeight="1" x14ac:dyDescent="0.2">
      <c r="C56" s="227" t="e">
        <f>IF(D56="BQ",$K$5,$K$3)</f>
        <v>#REF!</v>
      </c>
      <c r="D56" s="228" t="s">
        <v>37</v>
      </c>
      <c r="E56" s="229" t="s">
        <v>53</v>
      </c>
      <c r="F56" s="229"/>
      <c r="G56" s="230" t="s">
        <v>54</v>
      </c>
      <c r="H56" s="237" t="e">
        <f>VLOOKUP($K$4,#REF!,#REF!,FALSE)+VLOOKUP($K$4,#REF!,#REF!,FALSE)+VLOOKUP($K$4,#REF!,#REF!,FALSE)+VLOOKUP($K$4,#REF!,#REF!,FALSE)+VLOOKUP($K$4,#REF!,#REF!,FALSE)</f>
        <v>#REF!</v>
      </c>
      <c r="I56" s="237"/>
      <c r="L56" s="96"/>
      <c r="M56" s="93"/>
      <c r="N56" s="100"/>
    </row>
    <row r="57" spans="3:14" ht="15.6" customHeight="1" x14ac:dyDescent="0.2">
      <c r="C57" s="240" t="e">
        <f t="shared" ref="C57" si="3">IF(D57="BQ",$K$5,$K$3)</f>
        <v>#REF!</v>
      </c>
      <c r="D57" s="241" t="s">
        <v>37</v>
      </c>
      <c r="E57" s="242" t="s">
        <v>59</v>
      </c>
      <c r="F57" s="242"/>
      <c r="G57" s="243" t="s">
        <v>60</v>
      </c>
      <c r="H57" s="244"/>
      <c r="I57" s="244" t="e">
        <f>VLOOKUP($K$4,#REF!,#REF!,FALSE)+VLOOKUP($K$3,#REF!,#REF!,FALSE)+VLOOKUP($K$4,#REF!,#REF!,FALSE)+VLOOKUP($K$4,#REF!,#REF!,FALSE)+VLOOKUP($K$4,#REF!,#REF!,FALSE)+VLOOKUP($K$4,#REF!,#REF!,FALSE)+VLOOKUP($K$4,#REF!,#REF!,FALSE)+VLOOKUP($K$4,#REF!,#REF!,FALSE)+VLOOKUP($K$4,#REF!,#REF!,FALSE)</f>
        <v>#REF!</v>
      </c>
      <c r="J57" s="245"/>
      <c r="K57" s="245" t="e">
        <f>SUM(H52:H57)</f>
        <v>#REF!</v>
      </c>
      <c r="L57" s="245" t="e">
        <f>SUM(I52:I57)</f>
        <v>#REF!</v>
      </c>
      <c r="M57" s="246" t="e">
        <f>L57=K57</f>
        <v>#REF!</v>
      </c>
      <c r="N57" s="100"/>
    </row>
    <row r="58" spans="3:14" ht="15.6" customHeight="1" x14ac:dyDescent="0.2">
      <c r="C58"/>
      <c r="D58"/>
      <c r="E58" s="221"/>
      <c r="F58" s="221"/>
      <c r="G58"/>
      <c r="H58" s="248" t="e">
        <f>SUM(H12:H57)</f>
        <v>#REF!</v>
      </c>
      <c r="I58" s="248" t="e">
        <f>SUM(I12:I57)</f>
        <v>#REF!</v>
      </c>
      <c r="M58" s="93"/>
      <c r="N58" s="100"/>
    </row>
    <row r="59" spans="3:14" ht="15.6" customHeight="1" x14ac:dyDescent="0.2">
      <c r="L59" s="96"/>
      <c r="M59" s="93"/>
      <c r="N59" s="100"/>
    </row>
    <row r="60" spans="3:14" ht="15.6" customHeight="1" x14ac:dyDescent="0.2">
      <c r="L60" s="96"/>
      <c r="M60" s="93"/>
      <c r="N60" s="100"/>
    </row>
    <row r="61" spans="3:14" x14ac:dyDescent="0.2">
      <c r="L61" s="96"/>
      <c r="M61" s="93"/>
      <c r="N61" s="100"/>
    </row>
    <row r="62" spans="3:14" x14ac:dyDescent="0.2">
      <c r="L62" s="96"/>
      <c r="M62" s="93"/>
      <c r="N62" s="100"/>
    </row>
    <row r="63" spans="3:14" x14ac:dyDescent="0.2">
      <c r="L63" s="96"/>
      <c r="M63" s="93"/>
      <c r="N63" s="100"/>
    </row>
    <row r="64" spans="3:14" x14ac:dyDescent="0.2">
      <c r="L64" s="96"/>
      <c r="M64" s="93"/>
      <c r="N64" s="100"/>
    </row>
    <row r="65" spans="3:14" x14ac:dyDescent="0.2">
      <c r="L65" s="96"/>
      <c r="M65" s="93"/>
      <c r="N65" s="100"/>
    </row>
    <row r="66" spans="3:14" x14ac:dyDescent="0.2">
      <c r="L66" s="96"/>
    </row>
    <row r="67" spans="3:14" x14ac:dyDescent="0.2">
      <c r="L67" s="96"/>
    </row>
    <row r="68" spans="3:14" x14ac:dyDescent="0.2">
      <c r="L68" s="96"/>
    </row>
    <row r="69" spans="3:14" x14ac:dyDescent="0.2">
      <c r="L69" s="96"/>
    </row>
    <row r="70" spans="3:14" x14ac:dyDescent="0.2">
      <c r="L70" s="96"/>
    </row>
    <row r="71" spans="3:14" x14ac:dyDescent="0.2">
      <c r="L71" s="96"/>
    </row>
    <row r="72" spans="3:14" x14ac:dyDescent="0.2">
      <c r="L72" s="96"/>
    </row>
    <row r="73" spans="3:14" x14ac:dyDescent="0.2">
      <c r="L73" s="96"/>
    </row>
    <row r="74" spans="3:14" x14ac:dyDescent="0.2">
      <c r="L74" s="96"/>
    </row>
    <row r="75" spans="3:14" x14ac:dyDescent="0.2">
      <c r="L75" s="96"/>
    </row>
    <row r="76" spans="3:14" x14ac:dyDescent="0.2">
      <c r="L76" s="96"/>
    </row>
    <row r="77" spans="3:14" x14ac:dyDescent="0.2">
      <c r="C77" s="249"/>
      <c r="D77" s="215"/>
      <c r="E77" s="250"/>
      <c r="F77" s="250"/>
      <c r="G77" s="251"/>
      <c r="H77" s="252"/>
      <c r="I77" s="252"/>
    </row>
    <row r="78" spans="3:14" x14ac:dyDescent="0.2">
      <c r="C78" s="249"/>
      <c r="D78" s="215"/>
      <c r="E78" s="250"/>
      <c r="F78" s="250"/>
      <c r="G78" s="251"/>
      <c r="H78" s="252"/>
      <c r="I78" s="252"/>
    </row>
    <row r="79" spans="3:14" x14ac:dyDescent="0.2">
      <c r="C79" s="249"/>
      <c r="D79" s="215"/>
      <c r="E79" s="250"/>
      <c r="F79" s="250"/>
      <c r="G79" s="251"/>
      <c r="H79" s="252"/>
      <c r="I79" s="252"/>
    </row>
    <row r="80" spans="3:14" x14ac:dyDescent="0.2">
      <c r="C80" s="249"/>
      <c r="D80" s="215"/>
      <c r="E80" s="250"/>
      <c r="F80" s="250"/>
      <c r="G80" s="251"/>
      <c r="H80" s="252"/>
      <c r="I80" s="252"/>
    </row>
    <row r="81" spans="3:12" x14ac:dyDescent="0.2">
      <c r="C81" s="249"/>
      <c r="D81" s="215"/>
      <c r="E81" s="250"/>
      <c r="F81" s="250"/>
      <c r="G81" s="251"/>
      <c r="H81" s="252"/>
      <c r="I81" s="252"/>
    </row>
    <row r="82" spans="3:12" x14ac:dyDescent="0.2">
      <c r="C82" s="249"/>
      <c r="D82" s="215"/>
      <c r="E82" s="250"/>
      <c r="F82" s="250"/>
      <c r="G82" s="251"/>
      <c r="H82" s="252"/>
      <c r="I82" s="252"/>
    </row>
    <row r="83" spans="3:12" x14ac:dyDescent="0.2">
      <c r="C83" s="249"/>
      <c r="D83" s="215"/>
      <c r="E83" s="250"/>
      <c r="F83" s="250"/>
      <c r="G83" s="251"/>
      <c r="H83" s="252"/>
      <c r="I83" s="252"/>
    </row>
    <row r="84" spans="3:12" x14ac:dyDescent="0.2">
      <c r="C84" s="249"/>
      <c r="D84" s="215"/>
      <c r="E84" s="250"/>
      <c r="F84" s="250"/>
      <c r="G84" s="251"/>
      <c r="H84" s="252"/>
    </row>
    <row r="85" spans="3:12" x14ac:dyDescent="0.2">
      <c r="C85" s="249"/>
      <c r="D85" s="215"/>
      <c r="E85" s="250"/>
      <c r="F85" s="250"/>
      <c r="G85" s="251"/>
      <c r="H85" s="252"/>
      <c r="L85" s="253"/>
    </row>
    <row r="86" spans="3:12" x14ac:dyDescent="0.2">
      <c r="C86" s="249"/>
      <c r="D86" s="215"/>
      <c r="E86" s="250"/>
      <c r="F86" s="250"/>
      <c r="G86" s="251"/>
      <c r="L86" s="253"/>
    </row>
    <row r="87" spans="3:12" x14ac:dyDescent="0.2">
      <c r="C87" s="249"/>
      <c r="D87" s="215"/>
      <c r="E87" s="250"/>
      <c r="F87" s="250"/>
      <c r="G87" s="251"/>
      <c r="I87" s="252"/>
      <c r="L87" s="253"/>
    </row>
    <row r="88" spans="3:12" x14ac:dyDescent="0.2">
      <c r="C88" s="249"/>
      <c r="D88" s="215"/>
      <c r="E88" s="250"/>
      <c r="F88" s="250"/>
      <c r="G88" s="251"/>
      <c r="H88" s="252"/>
      <c r="L88" s="253"/>
    </row>
    <row r="89" spans="3:12" x14ac:dyDescent="0.2">
      <c r="C89" s="249"/>
      <c r="D89" s="215"/>
      <c r="E89" s="250"/>
      <c r="F89" s="250"/>
      <c r="G89" s="251"/>
      <c r="H89" s="252"/>
      <c r="I89" s="252"/>
      <c r="L89" s="254"/>
    </row>
    <row r="90" spans="3:12" x14ac:dyDescent="0.2">
      <c r="C90" s="249"/>
      <c r="D90" s="215"/>
      <c r="E90" s="250"/>
      <c r="F90" s="250"/>
      <c r="G90" s="251"/>
      <c r="I90" s="252"/>
    </row>
    <row r="91" spans="3:12" x14ac:dyDescent="0.2">
      <c r="C91" s="249"/>
      <c r="D91" s="215"/>
      <c r="E91" s="250"/>
      <c r="F91" s="250"/>
      <c r="G91" s="251"/>
      <c r="L91" s="253"/>
    </row>
    <row r="92" spans="3:12" x14ac:dyDescent="0.2">
      <c r="C92" s="249"/>
      <c r="D92" s="215"/>
      <c r="E92" s="250"/>
      <c r="F92" s="250"/>
      <c r="G92" s="251"/>
      <c r="H92" s="252"/>
      <c r="L92" s="253"/>
    </row>
    <row r="93" spans="3:12" x14ac:dyDescent="0.2">
      <c r="C93" s="249"/>
      <c r="D93" s="215"/>
      <c r="E93" s="250"/>
      <c r="F93" s="250"/>
      <c r="G93" s="251"/>
      <c r="I93" s="252"/>
      <c r="L93" s="253"/>
    </row>
    <row r="94" spans="3:12" x14ac:dyDescent="0.2">
      <c r="C94" s="249"/>
      <c r="D94" s="215"/>
      <c r="E94" s="250"/>
      <c r="F94" s="250"/>
      <c r="G94" s="251"/>
      <c r="L94" s="254"/>
    </row>
    <row r="95" spans="3:12" x14ac:dyDescent="0.2">
      <c r="C95" s="249"/>
      <c r="D95" s="215"/>
      <c r="E95" s="250"/>
      <c r="F95" s="250"/>
      <c r="G95" s="251"/>
      <c r="H95" s="252"/>
      <c r="I95" s="252"/>
      <c r="L95" s="253"/>
    </row>
    <row r="96" spans="3:12" x14ac:dyDescent="0.2">
      <c r="C96" s="249"/>
      <c r="D96" s="215"/>
      <c r="E96" s="250"/>
      <c r="F96" s="250"/>
      <c r="G96" s="251"/>
      <c r="H96" s="252"/>
      <c r="I96" s="252"/>
      <c r="L96" s="253"/>
    </row>
    <row r="97" spans="3:12" x14ac:dyDescent="0.2">
      <c r="C97" s="249"/>
      <c r="D97" s="215"/>
      <c r="E97" s="250"/>
      <c r="F97" s="250"/>
      <c r="G97" s="251"/>
      <c r="H97" s="252"/>
      <c r="I97" s="252"/>
      <c r="L97" s="253"/>
    </row>
    <row r="98" spans="3:12" x14ac:dyDescent="0.2">
      <c r="C98" s="249"/>
      <c r="D98" s="215"/>
      <c r="E98" s="250"/>
      <c r="F98" s="250"/>
      <c r="G98" s="251"/>
      <c r="I98" s="252"/>
      <c r="L98" s="253"/>
    </row>
    <row r="99" spans="3:12" x14ac:dyDescent="0.2">
      <c r="C99" s="249"/>
      <c r="D99" s="215"/>
      <c r="E99" s="250"/>
      <c r="F99" s="250"/>
      <c r="G99" s="251"/>
      <c r="I99" s="252"/>
      <c r="L99" s="253"/>
    </row>
    <row r="100" spans="3:12" x14ac:dyDescent="0.2">
      <c r="C100" s="249"/>
      <c r="D100" s="215"/>
      <c r="E100" s="250"/>
      <c r="F100" s="250"/>
      <c r="G100" s="251"/>
      <c r="H100" s="252"/>
      <c r="I100" s="252"/>
      <c r="L100" s="253"/>
    </row>
    <row r="101" spans="3:12" x14ac:dyDescent="0.2">
      <c r="C101" s="249"/>
      <c r="D101" s="215"/>
      <c r="E101" s="250"/>
      <c r="F101" s="250"/>
      <c r="G101" s="251"/>
      <c r="I101" s="252"/>
      <c r="L101" s="253"/>
    </row>
    <row r="102" spans="3:12" x14ac:dyDescent="0.2">
      <c r="C102" s="249"/>
      <c r="D102" s="215"/>
      <c r="E102" s="250"/>
      <c r="F102" s="250"/>
      <c r="G102" s="251"/>
      <c r="I102" s="252"/>
      <c r="L102" s="253"/>
    </row>
    <row r="103" spans="3:12" x14ac:dyDescent="0.2">
      <c r="C103" s="249"/>
      <c r="D103" s="215"/>
      <c r="E103" s="250"/>
      <c r="F103" s="250"/>
      <c r="G103" s="251"/>
      <c r="I103" s="252"/>
      <c r="L103" s="253"/>
    </row>
    <row r="104" spans="3:12" x14ac:dyDescent="0.2">
      <c r="C104" s="249"/>
      <c r="D104" s="215"/>
      <c r="E104" s="250"/>
      <c r="F104" s="250"/>
      <c r="G104" s="251"/>
      <c r="H104" s="252"/>
      <c r="L104" s="253"/>
    </row>
    <row r="105" spans="3:12" x14ac:dyDescent="0.2">
      <c r="C105" s="249"/>
      <c r="D105" s="215"/>
      <c r="E105" s="250"/>
      <c r="F105" s="250"/>
      <c r="G105" s="251"/>
      <c r="H105" s="252"/>
      <c r="I105" s="252"/>
      <c r="L105" s="253"/>
    </row>
    <row r="106" spans="3:12" x14ac:dyDescent="0.2">
      <c r="C106" s="249"/>
      <c r="D106" s="215"/>
      <c r="E106" s="250"/>
      <c r="F106" s="250"/>
      <c r="G106" s="251"/>
      <c r="I106" s="252"/>
      <c r="L106" s="253"/>
    </row>
    <row r="107" spans="3:12" x14ac:dyDescent="0.2">
      <c r="C107" s="249"/>
      <c r="D107" s="215"/>
      <c r="E107" s="250"/>
      <c r="F107" s="250"/>
      <c r="G107" s="251"/>
      <c r="I107" s="252"/>
      <c r="L107" s="253"/>
    </row>
    <row r="108" spans="3:12" x14ac:dyDescent="0.2">
      <c r="C108"/>
      <c r="D108"/>
      <c r="E108" s="250"/>
      <c r="F108" s="250"/>
      <c r="G108" s="251"/>
      <c r="H108" s="252"/>
      <c r="I108" s="252"/>
      <c r="L108" s="253"/>
    </row>
    <row r="109" spans="3:12" x14ac:dyDescent="0.2">
      <c r="E109" s="250"/>
      <c r="F109" s="250"/>
      <c r="G109" s="251"/>
      <c r="I109" s="252"/>
      <c r="L109" s="253"/>
    </row>
    <row r="110" spans="3:12" x14ac:dyDescent="0.2">
      <c r="E110" s="250"/>
      <c r="F110" s="250"/>
      <c r="G110" s="251"/>
      <c r="I110" s="252"/>
    </row>
  </sheetData>
  <autoFilter ref="C11:I60" xr:uid="{28E58B19-721C-4A96-B85A-CC1384CE08CD}"/>
  <mergeCells count="1">
    <mergeCell ref="C8:K8"/>
  </mergeCells>
  <phoneticPr fontId="111" type="noConversion"/>
  <pageMargins left="0.7" right="0.7" top="0.75" bottom="0.75" header="0.3" footer="0.3"/>
  <pageSetup scale="3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249977111117893"/>
  </sheetPr>
  <dimension ref="C3:O77"/>
  <sheetViews>
    <sheetView workbookViewId="0"/>
  </sheetViews>
  <sheetFormatPr defaultColWidth="11.42578125" defaultRowHeight="12.75" x14ac:dyDescent="0.2"/>
  <cols>
    <col min="1" max="1" width="3.5703125" style="26" customWidth="1"/>
    <col min="2" max="2" width="2.42578125" style="26" customWidth="1"/>
    <col min="3" max="3" width="66.85546875" style="26" customWidth="1"/>
    <col min="4" max="4" width="5" style="26" customWidth="1"/>
    <col min="5" max="5" width="5.140625" style="26" customWidth="1"/>
    <col min="6" max="6" width="29.5703125" style="26" customWidth="1"/>
    <col min="7" max="7" width="1.42578125" style="26" customWidth="1"/>
    <col min="8" max="8" width="31.42578125" style="26" customWidth="1"/>
    <col min="9" max="9" width="4.85546875" style="26" customWidth="1"/>
    <col min="10" max="10" width="4.5703125" style="26" customWidth="1"/>
    <col min="11" max="11" width="12.42578125" style="26" bestFit="1" customWidth="1"/>
    <col min="12" max="12" width="13.42578125" style="26" customWidth="1"/>
    <col min="13" max="13" width="7.42578125" style="26" bestFit="1" customWidth="1"/>
    <col min="14" max="14" width="19.85546875" style="26" bestFit="1" customWidth="1"/>
    <col min="15" max="249" width="11.42578125" style="26"/>
    <col min="250" max="250" width="2.42578125" style="26" customWidth="1"/>
    <col min="251" max="251" width="49" style="26" customWidth="1"/>
    <col min="252" max="252" width="16.85546875" style="26" customWidth="1"/>
    <col min="253" max="253" width="1.140625" style="26" customWidth="1"/>
    <col min="254" max="254" width="20.5703125" style="26" customWidth="1"/>
    <col min="255" max="255" width="17.5703125" style="26" customWidth="1"/>
    <col min="256" max="256" width="18.140625" style="26" customWidth="1"/>
    <col min="257" max="257" width="17.140625" style="26" customWidth="1"/>
    <col min="258" max="258" width="22.42578125" style="26" bestFit="1" customWidth="1"/>
    <col min="259" max="259" width="22.140625" style="26" customWidth="1"/>
    <col min="260" max="260" width="17.85546875" style="26" customWidth="1"/>
    <col min="261" max="261" width="22.42578125" style="26" customWidth="1"/>
    <col min="262" max="262" width="10.140625" style="26" bestFit="1" customWidth="1"/>
    <col min="263" max="263" width="13.42578125" style="26" customWidth="1"/>
    <col min="264" max="264" width="7.42578125" style="26" bestFit="1" customWidth="1"/>
    <col min="265" max="265" width="15.42578125" style="26" bestFit="1" customWidth="1"/>
    <col min="266" max="266" width="7.42578125" style="26" bestFit="1" customWidth="1"/>
    <col min="267" max="267" width="19.5703125" style="26" bestFit="1" customWidth="1"/>
    <col min="268" max="268" width="7.42578125" style="26" bestFit="1" customWidth="1"/>
    <col min="269" max="269" width="26.85546875" style="26" bestFit="1" customWidth="1"/>
    <col min="270" max="270" width="19.85546875" style="26" bestFit="1" customWidth="1"/>
    <col min="271" max="505" width="11.42578125" style="26"/>
    <col min="506" max="506" width="2.42578125" style="26" customWidth="1"/>
    <col min="507" max="507" width="49" style="26" customWidth="1"/>
    <col min="508" max="508" width="16.85546875" style="26" customWidth="1"/>
    <col min="509" max="509" width="1.140625" style="26" customWidth="1"/>
    <col min="510" max="510" width="20.5703125" style="26" customWidth="1"/>
    <col min="511" max="511" width="17.5703125" style="26" customWidth="1"/>
    <col min="512" max="512" width="18.140625" style="26" customWidth="1"/>
    <col min="513" max="513" width="17.140625" style="26" customWidth="1"/>
    <col min="514" max="514" width="22.42578125" style="26" bestFit="1" customWidth="1"/>
    <col min="515" max="515" width="22.140625" style="26" customWidth="1"/>
    <col min="516" max="516" width="17.85546875" style="26" customWidth="1"/>
    <col min="517" max="517" width="22.42578125" style="26" customWidth="1"/>
    <col min="518" max="518" width="10.140625" style="26" bestFit="1" customWidth="1"/>
    <col min="519" max="519" width="13.42578125" style="26" customWidth="1"/>
    <col min="520" max="520" width="7.42578125" style="26" bestFit="1" customWidth="1"/>
    <col min="521" max="521" width="15.42578125" style="26" bestFit="1" customWidth="1"/>
    <col min="522" max="522" width="7.42578125" style="26" bestFit="1" customWidth="1"/>
    <col min="523" max="523" width="19.5703125" style="26" bestFit="1" customWidth="1"/>
    <col min="524" max="524" width="7.42578125" style="26" bestFit="1" customWidth="1"/>
    <col min="525" max="525" width="26.85546875" style="26" bestFit="1" customWidth="1"/>
    <col min="526" max="526" width="19.85546875" style="26" bestFit="1" customWidth="1"/>
    <col min="527" max="761" width="11.42578125" style="26"/>
    <col min="762" max="762" width="2.42578125" style="26" customWidth="1"/>
    <col min="763" max="763" width="49" style="26" customWidth="1"/>
    <col min="764" max="764" width="16.85546875" style="26" customWidth="1"/>
    <col min="765" max="765" width="1.140625" style="26" customWidth="1"/>
    <col min="766" max="766" width="20.5703125" style="26" customWidth="1"/>
    <col min="767" max="767" width="17.5703125" style="26" customWidth="1"/>
    <col min="768" max="768" width="18.140625" style="26" customWidth="1"/>
    <col min="769" max="769" width="17.140625" style="26" customWidth="1"/>
    <col min="770" max="770" width="22.42578125" style="26" bestFit="1" customWidth="1"/>
    <col min="771" max="771" width="22.140625" style="26" customWidth="1"/>
    <col min="772" max="772" width="17.85546875" style="26" customWidth="1"/>
    <col min="773" max="773" width="22.42578125" style="26" customWidth="1"/>
    <col min="774" max="774" width="10.140625" style="26" bestFit="1" customWidth="1"/>
    <col min="775" max="775" width="13.42578125" style="26" customWidth="1"/>
    <col min="776" max="776" width="7.42578125" style="26" bestFit="1" customWidth="1"/>
    <col min="777" max="777" width="15.42578125" style="26" bestFit="1" customWidth="1"/>
    <col min="778" max="778" width="7.42578125" style="26" bestFit="1" customWidth="1"/>
    <col min="779" max="779" width="19.5703125" style="26" bestFit="1" customWidth="1"/>
    <col min="780" max="780" width="7.42578125" style="26" bestFit="1" customWidth="1"/>
    <col min="781" max="781" width="26.85546875" style="26" bestFit="1" customWidth="1"/>
    <col min="782" max="782" width="19.85546875" style="26" bestFit="1" customWidth="1"/>
    <col min="783" max="1017" width="11.42578125" style="26"/>
    <col min="1018" max="1018" width="2.42578125" style="26" customWidth="1"/>
    <col min="1019" max="1019" width="49" style="26" customWidth="1"/>
    <col min="1020" max="1020" width="16.85546875" style="26" customWidth="1"/>
    <col min="1021" max="1021" width="1.140625" style="26" customWidth="1"/>
    <col min="1022" max="1022" width="20.5703125" style="26" customWidth="1"/>
    <col min="1023" max="1023" width="17.5703125" style="26" customWidth="1"/>
    <col min="1024" max="1024" width="18.140625" style="26" customWidth="1"/>
    <col min="1025" max="1025" width="17.140625" style="26" customWidth="1"/>
    <col min="1026" max="1026" width="22.42578125" style="26" bestFit="1" customWidth="1"/>
    <col min="1027" max="1027" width="22.140625" style="26" customWidth="1"/>
    <col min="1028" max="1028" width="17.85546875" style="26" customWidth="1"/>
    <col min="1029" max="1029" width="22.42578125" style="26" customWidth="1"/>
    <col min="1030" max="1030" width="10.140625" style="26" bestFit="1" customWidth="1"/>
    <col min="1031" max="1031" width="13.42578125" style="26" customWidth="1"/>
    <col min="1032" max="1032" width="7.42578125" style="26" bestFit="1" customWidth="1"/>
    <col min="1033" max="1033" width="15.42578125" style="26" bestFit="1" customWidth="1"/>
    <col min="1034" max="1034" width="7.42578125" style="26" bestFit="1" customWidth="1"/>
    <col min="1035" max="1035" width="19.5703125" style="26" bestFit="1" customWidth="1"/>
    <col min="1036" max="1036" width="7.42578125" style="26" bestFit="1" customWidth="1"/>
    <col min="1037" max="1037" width="26.85546875" style="26" bestFit="1" customWidth="1"/>
    <col min="1038" max="1038" width="19.85546875" style="26" bestFit="1" customWidth="1"/>
    <col min="1039" max="1273" width="11.42578125" style="26"/>
    <col min="1274" max="1274" width="2.42578125" style="26" customWidth="1"/>
    <col min="1275" max="1275" width="49" style="26" customWidth="1"/>
    <col min="1276" max="1276" width="16.85546875" style="26" customWidth="1"/>
    <col min="1277" max="1277" width="1.140625" style="26" customWidth="1"/>
    <col min="1278" max="1278" width="20.5703125" style="26" customWidth="1"/>
    <col min="1279" max="1279" width="17.5703125" style="26" customWidth="1"/>
    <col min="1280" max="1280" width="18.140625" style="26" customWidth="1"/>
    <col min="1281" max="1281" width="17.140625" style="26" customWidth="1"/>
    <col min="1282" max="1282" width="22.42578125" style="26" bestFit="1" customWidth="1"/>
    <col min="1283" max="1283" width="22.140625" style="26" customWidth="1"/>
    <col min="1284" max="1284" width="17.85546875" style="26" customWidth="1"/>
    <col min="1285" max="1285" width="22.42578125" style="26" customWidth="1"/>
    <col min="1286" max="1286" width="10.140625" style="26" bestFit="1" customWidth="1"/>
    <col min="1287" max="1287" width="13.42578125" style="26" customWidth="1"/>
    <col min="1288" max="1288" width="7.42578125" style="26" bestFit="1" customWidth="1"/>
    <col min="1289" max="1289" width="15.42578125" style="26" bestFit="1" customWidth="1"/>
    <col min="1290" max="1290" width="7.42578125" style="26" bestFit="1" customWidth="1"/>
    <col min="1291" max="1291" width="19.5703125" style="26" bestFit="1" customWidth="1"/>
    <col min="1292" max="1292" width="7.42578125" style="26" bestFit="1" customWidth="1"/>
    <col min="1293" max="1293" width="26.85546875" style="26" bestFit="1" customWidth="1"/>
    <col min="1294" max="1294" width="19.85546875" style="26" bestFit="1" customWidth="1"/>
    <col min="1295" max="1529" width="11.42578125" style="26"/>
    <col min="1530" max="1530" width="2.42578125" style="26" customWidth="1"/>
    <col min="1531" max="1531" width="49" style="26" customWidth="1"/>
    <col min="1532" max="1532" width="16.85546875" style="26" customWidth="1"/>
    <col min="1533" max="1533" width="1.140625" style="26" customWidth="1"/>
    <col min="1534" max="1534" width="20.5703125" style="26" customWidth="1"/>
    <col min="1535" max="1535" width="17.5703125" style="26" customWidth="1"/>
    <col min="1536" max="1536" width="18.140625" style="26" customWidth="1"/>
    <col min="1537" max="1537" width="17.140625" style="26" customWidth="1"/>
    <col min="1538" max="1538" width="22.42578125" style="26" bestFit="1" customWidth="1"/>
    <col min="1539" max="1539" width="22.140625" style="26" customWidth="1"/>
    <col min="1540" max="1540" width="17.85546875" style="26" customWidth="1"/>
    <col min="1541" max="1541" width="22.42578125" style="26" customWidth="1"/>
    <col min="1542" max="1542" width="10.140625" style="26" bestFit="1" customWidth="1"/>
    <col min="1543" max="1543" width="13.42578125" style="26" customWidth="1"/>
    <col min="1544" max="1544" width="7.42578125" style="26" bestFit="1" customWidth="1"/>
    <col min="1545" max="1545" width="15.42578125" style="26" bestFit="1" customWidth="1"/>
    <col min="1546" max="1546" width="7.42578125" style="26" bestFit="1" customWidth="1"/>
    <col min="1547" max="1547" width="19.5703125" style="26" bestFit="1" customWidth="1"/>
    <col min="1548" max="1548" width="7.42578125" style="26" bestFit="1" customWidth="1"/>
    <col min="1549" max="1549" width="26.85546875" style="26" bestFit="1" customWidth="1"/>
    <col min="1550" max="1550" width="19.85546875" style="26" bestFit="1" customWidth="1"/>
    <col min="1551" max="1785" width="11.42578125" style="26"/>
    <col min="1786" max="1786" width="2.42578125" style="26" customWidth="1"/>
    <col min="1787" max="1787" width="49" style="26" customWidth="1"/>
    <col min="1788" max="1788" width="16.85546875" style="26" customWidth="1"/>
    <col min="1789" max="1789" width="1.140625" style="26" customWidth="1"/>
    <col min="1790" max="1790" width="20.5703125" style="26" customWidth="1"/>
    <col min="1791" max="1791" width="17.5703125" style="26" customWidth="1"/>
    <col min="1792" max="1792" width="18.140625" style="26" customWidth="1"/>
    <col min="1793" max="1793" width="17.140625" style="26" customWidth="1"/>
    <col min="1794" max="1794" width="22.42578125" style="26" bestFit="1" customWidth="1"/>
    <col min="1795" max="1795" width="22.140625" style="26" customWidth="1"/>
    <col min="1796" max="1796" width="17.85546875" style="26" customWidth="1"/>
    <col min="1797" max="1797" width="22.42578125" style="26" customWidth="1"/>
    <col min="1798" max="1798" width="10.140625" style="26" bestFit="1" customWidth="1"/>
    <col min="1799" max="1799" width="13.42578125" style="26" customWidth="1"/>
    <col min="1800" max="1800" width="7.42578125" style="26" bestFit="1" customWidth="1"/>
    <col min="1801" max="1801" width="15.42578125" style="26" bestFit="1" customWidth="1"/>
    <col min="1802" max="1802" width="7.42578125" style="26" bestFit="1" customWidth="1"/>
    <col min="1803" max="1803" width="19.5703125" style="26" bestFit="1" customWidth="1"/>
    <col min="1804" max="1804" width="7.42578125" style="26" bestFit="1" customWidth="1"/>
    <col min="1805" max="1805" width="26.85546875" style="26" bestFit="1" customWidth="1"/>
    <col min="1806" max="1806" width="19.85546875" style="26" bestFit="1" customWidth="1"/>
    <col min="1807" max="2041" width="11.42578125" style="26"/>
    <col min="2042" max="2042" width="2.42578125" style="26" customWidth="1"/>
    <col min="2043" max="2043" width="49" style="26" customWidth="1"/>
    <col min="2044" max="2044" width="16.85546875" style="26" customWidth="1"/>
    <col min="2045" max="2045" width="1.140625" style="26" customWidth="1"/>
    <col min="2046" max="2046" width="20.5703125" style="26" customWidth="1"/>
    <col min="2047" max="2047" width="17.5703125" style="26" customWidth="1"/>
    <col min="2048" max="2048" width="18.140625" style="26" customWidth="1"/>
    <col min="2049" max="2049" width="17.140625" style="26" customWidth="1"/>
    <col min="2050" max="2050" width="22.42578125" style="26" bestFit="1" customWidth="1"/>
    <col min="2051" max="2051" width="22.140625" style="26" customWidth="1"/>
    <col min="2052" max="2052" width="17.85546875" style="26" customWidth="1"/>
    <col min="2053" max="2053" width="22.42578125" style="26" customWidth="1"/>
    <col min="2054" max="2054" width="10.140625" style="26" bestFit="1" customWidth="1"/>
    <col min="2055" max="2055" width="13.42578125" style="26" customWidth="1"/>
    <col min="2056" max="2056" width="7.42578125" style="26" bestFit="1" customWidth="1"/>
    <col min="2057" max="2057" width="15.42578125" style="26" bestFit="1" customWidth="1"/>
    <col min="2058" max="2058" width="7.42578125" style="26" bestFit="1" customWidth="1"/>
    <col min="2059" max="2059" width="19.5703125" style="26" bestFit="1" customWidth="1"/>
    <col min="2060" max="2060" width="7.42578125" style="26" bestFit="1" customWidth="1"/>
    <col min="2061" max="2061" width="26.85546875" style="26" bestFit="1" customWidth="1"/>
    <col min="2062" max="2062" width="19.85546875" style="26" bestFit="1" customWidth="1"/>
    <col min="2063" max="2297" width="11.42578125" style="26"/>
    <col min="2298" max="2298" width="2.42578125" style="26" customWidth="1"/>
    <col min="2299" max="2299" width="49" style="26" customWidth="1"/>
    <col min="2300" max="2300" width="16.85546875" style="26" customWidth="1"/>
    <col min="2301" max="2301" width="1.140625" style="26" customWidth="1"/>
    <col min="2302" max="2302" width="20.5703125" style="26" customWidth="1"/>
    <col min="2303" max="2303" width="17.5703125" style="26" customWidth="1"/>
    <col min="2304" max="2304" width="18.140625" style="26" customWidth="1"/>
    <col min="2305" max="2305" width="17.140625" style="26" customWidth="1"/>
    <col min="2306" max="2306" width="22.42578125" style="26" bestFit="1" customWidth="1"/>
    <col min="2307" max="2307" width="22.140625" style="26" customWidth="1"/>
    <col min="2308" max="2308" width="17.85546875" style="26" customWidth="1"/>
    <col min="2309" max="2309" width="22.42578125" style="26" customWidth="1"/>
    <col min="2310" max="2310" width="10.140625" style="26" bestFit="1" customWidth="1"/>
    <col min="2311" max="2311" width="13.42578125" style="26" customWidth="1"/>
    <col min="2312" max="2312" width="7.42578125" style="26" bestFit="1" customWidth="1"/>
    <col min="2313" max="2313" width="15.42578125" style="26" bestFit="1" customWidth="1"/>
    <col min="2314" max="2314" width="7.42578125" style="26" bestFit="1" customWidth="1"/>
    <col min="2315" max="2315" width="19.5703125" style="26" bestFit="1" customWidth="1"/>
    <col min="2316" max="2316" width="7.42578125" style="26" bestFit="1" customWidth="1"/>
    <col min="2317" max="2317" width="26.85546875" style="26" bestFit="1" customWidth="1"/>
    <col min="2318" max="2318" width="19.85546875" style="26" bestFit="1" customWidth="1"/>
    <col min="2319" max="2553" width="11.42578125" style="26"/>
    <col min="2554" max="2554" width="2.42578125" style="26" customWidth="1"/>
    <col min="2555" max="2555" width="49" style="26" customWidth="1"/>
    <col min="2556" max="2556" width="16.85546875" style="26" customWidth="1"/>
    <col min="2557" max="2557" width="1.140625" style="26" customWidth="1"/>
    <col min="2558" max="2558" width="20.5703125" style="26" customWidth="1"/>
    <col min="2559" max="2559" width="17.5703125" style="26" customWidth="1"/>
    <col min="2560" max="2560" width="18.140625" style="26" customWidth="1"/>
    <col min="2561" max="2561" width="17.140625" style="26" customWidth="1"/>
    <col min="2562" max="2562" width="22.42578125" style="26" bestFit="1" customWidth="1"/>
    <col min="2563" max="2563" width="22.140625" style="26" customWidth="1"/>
    <col min="2564" max="2564" width="17.85546875" style="26" customWidth="1"/>
    <col min="2565" max="2565" width="22.42578125" style="26" customWidth="1"/>
    <col min="2566" max="2566" width="10.140625" style="26" bestFit="1" customWidth="1"/>
    <col min="2567" max="2567" width="13.42578125" style="26" customWidth="1"/>
    <col min="2568" max="2568" width="7.42578125" style="26" bestFit="1" customWidth="1"/>
    <col min="2569" max="2569" width="15.42578125" style="26" bestFit="1" customWidth="1"/>
    <col min="2570" max="2570" width="7.42578125" style="26" bestFit="1" customWidth="1"/>
    <col min="2571" max="2571" width="19.5703125" style="26" bestFit="1" customWidth="1"/>
    <col min="2572" max="2572" width="7.42578125" style="26" bestFit="1" customWidth="1"/>
    <col min="2573" max="2573" width="26.85546875" style="26" bestFit="1" customWidth="1"/>
    <col min="2574" max="2574" width="19.85546875" style="26" bestFit="1" customWidth="1"/>
    <col min="2575" max="2809" width="11.42578125" style="26"/>
    <col min="2810" max="2810" width="2.42578125" style="26" customWidth="1"/>
    <col min="2811" max="2811" width="49" style="26" customWidth="1"/>
    <col min="2812" max="2812" width="16.85546875" style="26" customWidth="1"/>
    <col min="2813" max="2813" width="1.140625" style="26" customWidth="1"/>
    <col min="2814" max="2814" width="20.5703125" style="26" customWidth="1"/>
    <col min="2815" max="2815" width="17.5703125" style="26" customWidth="1"/>
    <col min="2816" max="2816" width="18.140625" style="26" customWidth="1"/>
    <col min="2817" max="2817" width="17.140625" style="26" customWidth="1"/>
    <col min="2818" max="2818" width="22.42578125" style="26" bestFit="1" customWidth="1"/>
    <col min="2819" max="2819" width="22.140625" style="26" customWidth="1"/>
    <col min="2820" max="2820" width="17.85546875" style="26" customWidth="1"/>
    <col min="2821" max="2821" width="22.42578125" style="26" customWidth="1"/>
    <col min="2822" max="2822" width="10.140625" style="26" bestFit="1" customWidth="1"/>
    <col min="2823" max="2823" width="13.42578125" style="26" customWidth="1"/>
    <col min="2824" max="2824" width="7.42578125" style="26" bestFit="1" customWidth="1"/>
    <col min="2825" max="2825" width="15.42578125" style="26" bestFit="1" customWidth="1"/>
    <col min="2826" max="2826" width="7.42578125" style="26" bestFit="1" customWidth="1"/>
    <col min="2827" max="2827" width="19.5703125" style="26" bestFit="1" customWidth="1"/>
    <col min="2828" max="2828" width="7.42578125" style="26" bestFit="1" customWidth="1"/>
    <col min="2829" max="2829" width="26.85546875" style="26" bestFit="1" customWidth="1"/>
    <col min="2830" max="2830" width="19.85546875" style="26" bestFit="1" customWidth="1"/>
    <col min="2831" max="3065" width="11.42578125" style="26"/>
    <col min="3066" max="3066" width="2.42578125" style="26" customWidth="1"/>
    <col min="3067" max="3067" width="49" style="26" customWidth="1"/>
    <col min="3068" max="3068" width="16.85546875" style="26" customWidth="1"/>
    <col min="3069" max="3069" width="1.140625" style="26" customWidth="1"/>
    <col min="3070" max="3070" width="20.5703125" style="26" customWidth="1"/>
    <col min="3071" max="3071" width="17.5703125" style="26" customWidth="1"/>
    <col min="3072" max="3072" width="18.140625" style="26" customWidth="1"/>
    <col min="3073" max="3073" width="17.140625" style="26" customWidth="1"/>
    <col min="3074" max="3074" width="22.42578125" style="26" bestFit="1" customWidth="1"/>
    <col min="3075" max="3075" width="22.140625" style="26" customWidth="1"/>
    <col min="3076" max="3076" width="17.85546875" style="26" customWidth="1"/>
    <col min="3077" max="3077" width="22.42578125" style="26" customWidth="1"/>
    <col min="3078" max="3078" width="10.140625" style="26" bestFit="1" customWidth="1"/>
    <col min="3079" max="3079" width="13.42578125" style="26" customWidth="1"/>
    <col min="3080" max="3080" width="7.42578125" style="26" bestFit="1" customWidth="1"/>
    <col min="3081" max="3081" width="15.42578125" style="26" bestFit="1" customWidth="1"/>
    <col min="3082" max="3082" width="7.42578125" style="26" bestFit="1" customWidth="1"/>
    <col min="3083" max="3083" width="19.5703125" style="26" bestFit="1" customWidth="1"/>
    <col min="3084" max="3084" width="7.42578125" style="26" bestFit="1" customWidth="1"/>
    <col min="3085" max="3085" width="26.85546875" style="26" bestFit="1" customWidth="1"/>
    <col min="3086" max="3086" width="19.85546875" style="26" bestFit="1" customWidth="1"/>
    <col min="3087" max="3321" width="11.42578125" style="26"/>
    <col min="3322" max="3322" width="2.42578125" style="26" customWidth="1"/>
    <col min="3323" max="3323" width="49" style="26" customWidth="1"/>
    <col min="3324" max="3324" width="16.85546875" style="26" customWidth="1"/>
    <col min="3325" max="3325" width="1.140625" style="26" customWidth="1"/>
    <col min="3326" max="3326" width="20.5703125" style="26" customWidth="1"/>
    <col min="3327" max="3327" width="17.5703125" style="26" customWidth="1"/>
    <col min="3328" max="3328" width="18.140625" style="26" customWidth="1"/>
    <col min="3329" max="3329" width="17.140625" style="26" customWidth="1"/>
    <col min="3330" max="3330" width="22.42578125" style="26" bestFit="1" customWidth="1"/>
    <col min="3331" max="3331" width="22.140625" style="26" customWidth="1"/>
    <col min="3332" max="3332" width="17.85546875" style="26" customWidth="1"/>
    <col min="3333" max="3333" width="22.42578125" style="26" customWidth="1"/>
    <col min="3334" max="3334" width="10.140625" style="26" bestFit="1" customWidth="1"/>
    <col min="3335" max="3335" width="13.42578125" style="26" customWidth="1"/>
    <col min="3336" max="3336" width="7.42578125" style="26" bestFit="1" customWidth="1"/>
    <col min="3337" max="3337" width="15.42578125" style="26" bestFit="1" customWidth="1"/>
    <col min="3338" max="3338" width="7.42578125" style="26" bestFit="1" customWidth="1"/>
    <col min="3339" max="3339" width="19.5703125" style="26" bestFit="1" customWidth="1"/>
    <col min="3340" max="3340" width="7.42578125" style="26" bestFit="1" customWidth="1"/>
    <col min="3341" max="3341" width="26.85546875" style="26" bestFit="1" customWidth="1"/>
    <col min="3342" max="3342" width="19.85546875" style="26" bestFit="1" customWidth="1"/>
    <col min="3343" max="3577" width="11.42578125" style="26"/>
    <col min="3578" max="3578" width="2.42578125" style="26" customWidth="1"/>
    <col min="3579" max="3579" width="49" style="26" customWidth="1"/>
    <col min="3580" max="3580" width="16.85546875" style="26" customWidth="1"/>
    <col min="3581" max="3581" width="1.140625" style="26" customWidth="1"/>
    <col min="3582" max="3582" width="20.5703125" style="26" customWidth="1"/>
    <col min="3583" max="3583" width="17.5703125" style="26" customWidth="1"/>
    <col min="3584" max="3584" width="18.140625" style="26" customWidth="1"/>
    <col min="3585" max="3585" width="17.140625" style="26" customWidth="1"/>
    <col min="3586" max="3586" width="22.42578125" style="26" bestFit="1" customWidth="1"/>
    <col min="3587" max="3587" width="22.140625" style="26" customWidth="1"/>
    <col min="3588" max="3588" width="17.85546875" style="26" customWidth="1"/>
    <col min="3589" max="3589" width="22.42578125" style="26" customWidth="1"/>
    <col min="3590" max="3590" width="10.140625" style="26" bestFit="1" customWidth="1"/>
    <col min="3591" max="3591" width="13.42578125" style="26" customWidth="1"/>
    <col min="3592" max="3592" width="7.42578125" style="26" bestFit="1" customWidth="1"/>
    <col min="3593" max="3593" width="15.42578125" style="26" bestFit="1" customWidth="1"/>
    <col min="3594" max="3594" width="7.42578125" style="26" bestFit="1" customWidth="1"/>
    <col min="3595" max="3595" width="19.5703125" style="26" bestFit="1" customWidth="1"/>
    <col min="3596" max="3596" width="7.42578125" style="26" bestFit="1" customWidth="1"/>
    <col min="3597" max="3597" width="26.85546875" style="26" bestFit="1" customWidth="1"/>
    <col min="3598" max="3598" width="19.85546875" style="26" bestFit="1" customWidth="1"/>
    <col min="3599" max="3833" width="11.42578125" style="26"/>
    <col min="3834" max="3834" width="2.42578125" style="26" customWidth="1"/>
    <col min="3835" max="3835" width="49" style="26" customWidth="1"/>
    <col min="3836" max="3836" width="16.85546875" style="26" customWidth="1"/>
    <col min="3837" max="3837" width="1.140625" style="26" customWidth="1"/>
    <col min="3838" max="3838" width="20.5703125" style="26" customWidth="1"/>
    <col min="3839" max="3839" width="17.5703125" style="26" customWidth="1"/>
    <col min="3840" max="3840" width="18.140625" style="26" customWidth="1"/>
    <col min="3841" max="3841" width="17.140625" style="26" customWidth="1"/>
    <col min="3842" max="3842" width="22.42578125" style="26" bestFit="1" customWidth="1"/>
    <col min="3843" max="3843" width="22.140625" style="26" customWidth="1"/>
    <col min="3844" max="3844" width="17.85546875" style="26" customWidth="1"/>
    <col min="3845" max="3845" width="22.42578125" style="26" customWidth="1"/>
    <col min="3846" max="3846" width="10.140625" style="26" bestFit="1" customWidth="1"/>
    <col min="3847" max="3847" width="13.42578125" style="26" customWidth="1"/>
    <col min="3848" max="3848" width="7.42578125" style="26" bestFit="1" customWidth="1"/>
    <col min="3849" max="3849" width="15.42578125" style="26" bestFit="1" customWidth="1"/>
    <col min="3850" max="3850" width="7.42578125" style="26" bestFit="1" customWidth="1"/>
    <col min="3851" max="3851" width="19.5703125" style="26" bestFit="1" customWidth="1"/>
    <col min="3852" max="3852" width="7.42578125" style="26" bestFit="1" customWidth="1"/>
    <col min="3853" max="3853" width="26.85546875" style="26" bestFit="1" customWidth="1"/>
    <col min="3854" max="3854" width="19.85546875" style="26" bestFit="1" customWidth="1"/>
    <col min="3855" max="4089" width="11.42578125" style="26"/>
    <col min="4090" max="4090" width="2.42578125" style="26" customWidth="1"/>
    <col min="4091" max="4091" width="49" style="26" customWidth="1"/>
    <col min="4092" max="4092" width="16.85546875" style="26" customWidth="1"/>
    <col min="4093" max="4093" width="1.140625" style="26" customWidth="1"/>
    <col min="4094" max="4094" width="20.5703125" style="26" customWidth="1"/>
    <col min="4095" max="4095" width="17.5703125" style="26" customWidth="1"/>
    <col min="4096" max="4096" width="18.140625" style="26" customWidth="1"/>
    <col min="4097" max="4097" width="17.140625" style="26" customWidth="1"/>
    <col min="4098" max="4098" width="22.42578125" style="26" bestFit="1" customWidth="1"/>
    <col min="4099" max="4099" width="22.140625" style="26" customWidth="1"/>
    <col min="4100" max="4100" width="17.85546875" style="26" customWidth="1"/>
    <col min="4101" max="4101" width="22.42578125" style="26" customWidth="1"/>
    <col min="4102" max="4102" width="10.140625" style="26" bestFit="1" customWidth="1"/>
    <col min="4103" max="4103" width="13.42578125" style="26" customWidth="1"/>
    <col min="4104" max="4104" width="7.42578125" style="26" bestFit="1" customWidth="1"/>
    <col min="4105" max="4105" width="15.42578125" style="26" bestFit="1" customWidth="1"/>
    <col min="4106" max="4106" width="7.42578125" style="26" bestFit="1" customWidth="1"/>
    <col min="4107" max="4107" width="19.5703125" style="26" bestFit="1" customWidth="1"/>
    <col min="4108" max="4108" width="7.42578125" style="26" bestFit="1" customWidth="1"/>
    <col min="4109" max="4109" width="26.85546875" style="26" bestFit="1" customWidth="1"/>
    <col min="4110" max="4110" width="19.85546875" style="26" bestFit="1" customWidth="1"/>
    <col min="4111" max="4345" width="11.42578125" style="26"/>
    <col min="4346" max="4346" width="2.42578125" style="26" customWidth="1"/>
    <col min="4347" max="4347" width="49" style="26" customWidth="1"/>
    <col min="4348" max="4348" width="16.85546875" style="26" customWidth="1"/>
    <col min="4349" max="4349" width="1.140625" style="26" customWidth="1"/>
    <col min="4350" max="4350" width="20.5703125" style="26" customWidth="1"/>
    <col min="4351" max="4351" width="17.5703125" style="26" customWidth="1"/>
    <col min="4352" max="4352" width="18.140625" style="26" customWidth="1"/>
    <col min="4353" max="4353" width="17.140625" style="26" customWidth="1"/>
    <col min="4354" max="4354" width="22.42578125" style="26" bestFit="1" customWidth="1"/>
    <col min="4355" max="4355" width="22.140625" style="26" customWidth="1"/>
    <col min="4356" max="4356" width="17.85546875" style="26" customWidth="1"/>
    <col min="4357" max="4357" width="22.42578125" style="26" customWidth="1"/>
    <col min="4358" max="4358" width="10.140625" style="26" bestFit="1" customWidth="1"/>
    <col min="4359" max="4359" width="13.42578125" style="26" customWidth="1"/>
    <col min="4360" max="4360" width="7.42578125" style="26" bestFit="1" customWidth="1"/>
    <col min="4361" max="4361" width="15.42578125" style="26" bestFit="1" customWidth="1"/>
    <col min="4362" max="4362" width="7.42578125" style="26" bestFit="1" customWidth="1"/>
    <col min="4363" max="4363" width="19.5703125" style="26" bestFit="1" customWidth="1"/>
    <col min="4364" max="4364" width="7.42578125" style="26" bestFit="1" customWidth="1"/>
    <col min="4365" max="4365" width="26.85546875" style="26" bestFit="1" customWidth="1"/>
    <col min="4366" max="4366" width="19.85546875" style="26" bestFit="1" customWidth="1"/>
    <col min="4367" max="4601" width="11.42578125" style="26"/>
    <col min="4602" max="4602" width="2.42578125" style="26" customWidth="1"/>
    <col min="4603" max="4603" width="49" style="26" customWidth="1"/>
    <col min="4604" max="4604" width="16.85546875" style="26" customWidth="1"/>
    <col min="4605" max="4605" width="1.140625" style="26" customWidth="1"/>
    <col min="4606" max="4606" width="20.5703125" style="26" customWidth="1"/>
    <col min="4607" max="4607" width="17.5703125" style="26" customWidth="1"/>
    <col min="4608" max="4608" width="18.140625" style="26" customWidth="1"/>
    <col min="4609" max="4609" width="17.140625" style="26" customWidth="1"/>
    <col min="4610" max="4610" width="22.42578125" style="26" bestFit="1" customWidth="1"/>
    <col min="4611" max="4611" width="22.140625" style="26" customWidth="1"/>
    <col min="4612" max="4612" width="17.85546875" style="26" customWidth="1"/>
    <col min="4613" max="4613" width="22.42578125" style="26" customWidth="1"/>
    <col min="4614" max="4614" width="10.140625" style="26" bestFit="1" customWidth="1"/>
    <col min="4615" max="4615" width="13.42578125" style="26" customWidth="1"/>
    <col min="4616" max="4616" width="7.42578125" style="26" bestFit="1" customWidth="1"/>
    <col min="4617" max="4617" width="15.42578125" style="26" bestFit="1" customWidth="1"/>
    <col min="4618" max="4618" width="7.42578125" style="26" bestFit="1" customWidth="1"/>
    <col min="4619" max="4619" width="19.5703125" style="26" bestFit="1" customWidth="1"/>
    <col min="4620" max="4620" width="7.42578125" style="26" bestFit="1" customWidth="1"/>
    <col min="4621" max="4621" width="26.85546875" style="26" bestFit="1" customWidth="1"/>
    <col min="4622" max="4622" width="19.85546875" style="26" bestFit="1" customWidth="1"/>
    <col min="4623" max="4857" width="11.42578125" style="26"/>
    <col min="4858" max="4858" width="2.42578125" style="26" customWidth="1"/>
    <col min="4859" max="4859" width="49" style="26" customWidth="1"/>
    <col min="4860" max="4860" width="16.85546875" style="26" customWidth="1"/>
    <col min="4861" max="4861" width="1.140625" style="26" customWidth="1"/>
    <col min="4862" max="4862" width="20.5703125" style="26" customWidth="1"/>
    <col min="4863" max="4863" width="17.5703125" style="26" customWidth="1"/>
    <col min="4864" max="4864" width="18.140625" style="26" customWidth="1"/>
    <col min="4865" max="4865" width="17.140625" style="26" customWidth="1"/>
    <col min="4866" max="4866" width="22.42578125" style="26" bestFit="1" customWidth="1"/>
    <col min="4867" max="4867" width="22.140625" style="26" customWidth="1"/>
    <col min="4868" max="4868" width="17.85546875" style="26" customWidth="1"/>
    <col min="4869" max="4869" width="22.42578125" style="26" customWidth="1"/>
    <col min="4870" max="4870" width="10.140625" style="26" bestFit="1" customWidth="1"/>
    <col min="4871" max="4871" width="13.42578125" style="26" customWidth="1"/>
    <col min="4872" max="4872" width="7.42578125" style="26" bestFit="1" customWidth="1"/>
    <col min="4873" max="4873" width="15.42578125" style="26" bestFit="1" customWidth="1"/>
    <col min="4874" max="4874" width="7.42578125" style="26" bestFit="1" customWidth="1"/>
    <col min="4875" max="4875" width="19.5703125" style="26" bestFit="1" customWidth="1"/>
    <col min="4876" max="4876" width="7.42578125" style="26" bestFit="1" customWidth="1"/>
    <col min="4877" max="4877" width="26.85546875" style="26" bestFit="1" customWidth="1"/>
    <col min="4878" max="4878" width="19.85546875" style="26" bestFit="1" customWidth="1"/>
    <col min="4879" max="5113" width="11.42578125" style="26"/>
    <col min="5114" max="5114" width="2.42578125" style="26" customWidth="1"/>
    <col min="5115" max="5115" width="49" style="26" customWidth="1"/>
    <col min="5116" max="5116" width="16.85546875" style="26" customWidth="1"/>
    <col min="5117" max="5117" width="1.140625" style="26" customWidth="1"/>
    <col min="5118" max="5118" width="20.5703125" style="26" customWidth="1"/>
    <col min="5119" max="5119" width="17.5703125" style="26" customWidth="1"/>
    <col min="5120" max="5120" width="18.140625" style="26" customWidth="1"/>
    <col min="5121" max="5121" width="17.140625" style="26" customWidth="1"/>
    <col min="5122" max="5122" width="22.42578125" style="26" bestFit="1" customWidth="1"/>
    <col min="5123" max="5123" width="22.140625" style="26" customWidth="1"/>
    <col min="5124" max="5124" width="17.85546875" style="26" customWidth="1"/>
    <col min="5125" max="5125" width="22.42578125" style="26" customWidth="1"/>
    <col min="5126" max="5126" width="10.140625" style="26" bestFit="1" customWidth="1"/>
    <col min="5127" max="5127" width="13.42578125" style="26" customWidth="1"/>
    <col min="5128" max="5128" width="7.42578125" style="26" bestFit="1" customWidth="1"/>
    <col min="5129" max="5129" width="15.42578125" style="26" bestFit="1" customWidth="1"/>
    <col min="5130" max="5130" width="7.42578125" style="26" bestFit="1" customWidth="1"/>
    <col min="5131" max="5131" width="19.5703125" style="26" bestFit="1" customWidth="1"/>
    <col min="5132" max="5132" width="7.42578125" style="26" bestFit="1" customWidth="1"/>
    <col min="5133" max="5133" width="26.85546875" style="26" bestFit="1" customWidth="1"/>
    <col min="5134" max="5134" width="19.85546875" style="26" bestFit="1" customWidth="1"/>
    <col min="5135" max="5369" width="11.42578125" style="26"/>
    <col min="5370" max="5370" width="2.42578125" style="26" customWidth="1"/>
    <col min="5371" max="5371" width="49" style="26" customWidth="1"/>
    <col min="5372" max="5372" width="16.85546875" style="26" customWidth="1"/>
    <col min="5373" max="5373" width="1.140625" style="26" customWidth="1"/>
    <col min="5374" max="5374" width="20.5703125" style="26" customWidth="1"/>
    <col min="5375" max="5375" width="17.5703125" style="26" customWidth="1"/>
    <col min="5376" max="5376" width="18.140625" style="26" customWidth="1"/>
    <col min="5377" max="5377" width="17.140625" style="26" customWidth="1"/>
    <col min="5378" max="5378" width="22.42578125" style="26" bestFit="1" customWidth="1"/>
    <col min="5379" max="5379" width="22.140625" style="26" customWidth="1"/>
    <col min="5380" max="5380" width="17.85546875" style="26" customWidth="1"/>
    <col min="5381" max="5381" width="22.42578125" style="26" customWidth="1"/>
    <col min="5382" max="5382" width="10.140625" style="26" bestFit="1" customWidth="1"/>
    <col min="5383" max="5383" width="13.42578125" style="26" customWidth="1"/>
    <col min="5384" max="5384" width="7.42578125" style="26" bestFit="1" customWidth="1"/>
    <col min="5385" max="5385" width="15.42578125" style="26" bestFit="1" customWidth="1"/>
    <col min="5386" max="5386" width="7.42578125" style="26" bestFit="1" customWidth="1"/>
    <col min="5387" max="5387" width="19.5703125" style="26" bestFit="1" customWidth="1"/>
    <col min="5388" max="5388" width="7.42578125" style="26" bestFit="1" customWidth="1"/>
    <col min="5389" max="5389" width="26.85546875" style="26" bestFit="1" customWidth="1"/>
    <col min="5390" max="5390" width="19.85546875" style="26" bestFit="1" customWidth="1"/>
    <col min="5391" max="5625" width="11.42578125" style="26"/>
    <col min="5626" max="5626" width="2.42578125" style="26" customWidth="1"/>
    <col min="5627" max="5627" width="49" style="26" customWidth="1"/>
    <col min="5628" max="5628" width="16.85546875" style="26" customWidth="1"/>
    <col min="5629" max="5629" width="1.140625" style="26" customWidth="1"/>
    <col min="5630" max="5630" width="20.5703125" style="26" customWidth="1"/>
    <col min="5631" max="5631" width="17.5703125" style="26" customWidth="1"/>
    <col min="5632" max="5632" width="18.140625" style="26" customWidth="1"/>
    <col min="5633" max="5633" width="17.140625" style="26" customWidth="1"/>
    <col min="5634" max="5634" width="22.42578125" style="26" bestFit="1" customWidth="1"/>
    <col min="5635" max="5635" width="22.140625" style="26" customWidth="1"/>
    <col min="5636" max="5636" width="17.85546875" style="26" customWidth="1"/>
    <col min="5637" max="5637" width="22.42578125" style="26" customWidth="1"/>
    <col min="5638" max="5638" width="10.140625" style="26" bestFit="1" customWidth="1"/>
    <col min="5639" max="5639" width="13.42578125" style="26" customWidth="1"/>
    <col min="5640" max="5640" width="7.42578125" style="26" bestFit="1" customWidth="1"/>
    <col min="5641" max="5641" width="15.42578125" style="26" bestFit="1" customWidth="1"/>
    <col min="5642" max="5642" width="7.42578125" style="26" bestFit="1" customWidth="1"/>
    <col min="5643" max="5643" width="19.5703125" style="26" bestFit="1" customWidth="1"/>
    <col min="5644" max="5644" width="7.42578125" style="26" bestFit="1" customWidth="1"/>
    <col min="5645" max="5645" width="26.85546875" style="26" bestFit="1" customWidth="1"/>
    <col min="5646" max="5646" width="19.85546875" style="26" bestFit="1" customWidth="1"/>
    <col min="5647" max="5881" width="11.42578125" style="26"/>
    <col min="5882" max="5882" width="2.42578125" style="26" customWidth="1"/>
    <col min="5883" max="5883" width="49" style="26" customWidth="1"/>
    <col min="5884" max="5884" width="16.85546875" style="26" customWidth="1"/>
    <col min="5885" max="5885" width="1.140625" style="26" customWidth="1"/>
    <col min="5886" max="5886" width="20.5703125" style="26" customWidth="1"/>
    <col min="5887" max="5887" width="17.5703125" style="26" customWidth="1"/>
    <col min="5888" max="5888" width="18.140625" style="26" customWidth="1"/>
    <col min="5889" max="5889" width="17.140625" style="26" customWidth="1"/>
    <col min="5890" max="5890" width="22.42578125" style="26" bestFit="1" customWidth="1"/>
    <col min="5891" max="5891" width="22.140625" style="26" customWidth="1"/>
    <col min="5892" max="5892" width="17.85546875" style="26" customWidth="1"/>
    <col min="5893" max="5893" width="22.42578125" style="26" customWidth="1"/>
    <col min="5894" max="5894" width="10.140625" style="26" bestFit="1" customWidth="1"/>
    <col min="5895" max="5895" width="13.42578125" style="26" customWidth="1"/>
    <col min="5896" max="5896" width="7.42578125" style="26" bestFit="1" customWidth="1"/>
    <col min="5897" max="5897" width="15.42578125" style="26" bestFit="1" customWidth="1"/>
    <col min="5898" max="5898" width="7.42578125" style="26" bestFit="1" customWidth="1"/>
    <col min="5899" max="5899" width="19.5703125" style="26" bestFit="1" customWidth="1"/>
    <col min="5900" max="5900" width="7.42578125" style="26" bestFit="1" customWidth="1"/>
    <col min="5901" max="5901" width="26.85546875" style="26" bestFit="1" customWidth="1"/>
    <col min="5902" max="5902" width="19.85546875" style="26" bestFit="1" customWidth="1"/>
    <col min="5903" max="6137" width="11.42578125" style="26"/>
    <col min="6138" max="6138" width="2.42578125" style="26" customWidth="1"/>
    <col min="6139" max="6139" width="49" style="26" customWidth="1"/>
    <col min="6140" max="6140" width="16.85546875" style="26" customWidth="1"/>
    <col min="6141" max="6141" width="1.140625" style="26" customWidth="1"/>
    <col min="6142" max="6142" width="20.5703125" style="26" customWidth="1"/>
    <col min="6143" max="6143" width="17.5703125" style="26" customWidth="1"/>
    <col min="6144" max="6144" width="18.140625" style="26" customWidth="1"/>
    <col min="6145" max="6145" width="17.140625" style="26" customWidth="1"/>
    <col min="6146" max="6146" width="22.42578125" style="26" bestFit="1" customWidth="1"/>
    <col min="6147" max="6147" width="22.140625" style="26" customWidth="1"/>
    <col min="6148" max="6148" width="17.85546875" style="26" customWidth="1"/>
    <col min="6149" max="6149" width="22.42578125" style="26" customWidth="1"/>
    <col min="6150" max="6150" width="10.140625" style="26" bestFit="1" customWidth="1"/>
    <col min="6151" max="6151" width="13.42578125" style="26" customWidth="1"/>
    <col min="6152" max="6152" width="7.42578125" style="26" bestFit="1" customWidth="1"/>
    <col min="6153" max="6153" width="15.42578125" style="26" bestFit="1" customWidth="1"/>
    <col min="6154" max="6154" width="7.42578125" style="26" bestFit="1" customWidth="1"/>
    <col min="6155" max="6155" width="19.5703125" style="26" bestFit="1" customWidth="1"/>
    <col min="6156" max="6156" width="7.42578125" style="26" bestFit="1" customWidth="1"/>
    <col min="6157" max="6157" width="26.85546875" style="26" bestFit="1" customWidth="1"/>
    <col min="6158" max="6158" width="19.85546875" style="26" bestFit="1" customWidth="1"/>
    <col min="6159" max="6393" width="11.42578125" style="26"/>
    <col min="6394" max="6394" width="2.42578125" style="26" customWidth="1"/>
    <col min="6395" max="6395" width="49" style="26" customWidth="1"/>
    <col min="6396" max="6396" width="16.85546875" style="26" customWidth="1"/>
    <col min="6397" max="6397" width="1.140625" style="26" customWidth="1"/>
    <col min="6398" max="6398" width="20.5703125" style="26" customWidth="1"/>
    <col min="6399" max="6399" width="17.5703125" style="26" customWidth="1"/>
    <col min="6400" max="6400" width="18.140625" style="26" customWidth="1"/>
    <col min="6401" max="6401" width="17.140625" style="26" customWidth="1"/>
    <col min="6402" max="6402" width="22.42578125" style="26" bestFit="1" customWidth="1"/>
    <col min="6403" max="6403" width="22.140625" style="26" customWidth="1"/>
    <col min="6404" max="6404" width="17.85546875" style="26" customWidth="1"/>
    <col min="6405" max="6405" width="22.42578125" style="26" customWidth="1"/>
    <col min="6406" max="6406" width="10.140625" style="26" bestFit="1" customWidth="1"/>
    <col min="6407" max="6407" width="13.42578125" style="26" customWidth="1"/>
    <col min="6408" max="6408" width="7.42578125" style="26" bestFit="1" customWidth="1"/>
    <col min="6409" max="6409" width="15.42578125" style="26" bestFit="1" customWidth="1"/>
    <col min="6410" max="6410" width="7.42578125" style="26" bestFit="1" customWidth="1"/>
    <col min="6411" max="6411" width="19.5703125" style="26" bestFit="1" customWidth="1"/>
    <col min="6412" max="6412" width="7.42578125" style="26" bestFit="1" customWidth="1"/>
    <col min="6413" max="6413" width="26.85546875" style="26" bestFit="1" customWidth="1"/>
    <col min="6414" max="6414" width="19.85546875" style="26" bestFit="1" customWidth="1"/>
    <col min="6415" max="6649" width="11.42578125" style="26"/>
    <col min="6650" max="6650" width="2.42578125" style="26" customWidth="1"/>
    <col min="6651" max="6651" width="49" style="26" customWidth="1"/>
    <col min="6652" max="6652" width="16.85546875" style="26" customWidth="1"/>
    <col min="6653" max="6653" width="1.140625" style="26" customWidth="1"/>
    <col min="6654" max="6654" width="20.5703125" style="26" customWidth="1"/>
    <col min="6655" max="6655" width="17.5703125" style="26" customWidth="1"/>
    <col min="6656" max="6656" width="18.140625" style="26" customWidth="1"/>
    <col min="6657" max="6657" width="17.140625" style="26" customWidth="1"/>
    <col min="6658" max="6658" width="22.42578125" style="26" bestFit="1" customWidth="1"/>
    <col min="6659" max="6659" width="22.140625" style="26" customWidth="1"/>
    <col min="6660" max="6660" width="17.85546875" style="26" customWidth="1"/>
    <col min="6661" max="6661" width="22.42578125" style="26" customWidth="1"/>
    <col min="6662" max="6662" width="10.140625" style="26" bestFit="1" customWidth="1"/>
    <col min="6663" max="6663" width="13.42578125" style="26" customWidth="1"/>
    <col min="6664" max="6664" width="7.42578125" style="26" bestFit="1" customWidth="1"/>
    <col min="6665" max="6665" width="15.42578125" style="26" bestFit="1" customWidth="1"/>
    <col min="6666" max="6666" width="7.42578125" style="26" bestFit="1" customWidth="1"/>
    <col min="6667" max="6667" width="19.5703125" style="26" bestFit="1" customWidth="1"/>
    <col min="6668" max="6668" width="7.42578125" style="26" bestFit="1" customWidth="1"/>
    <col min="6669" max="6669" width="26.85546875" style="26" bestFit="1" customWidth="1"/>
    <col min="6670" max="6670" width="19.85546875" style="26" bestFit="1" customWidth="1"/>
    <col min="6671" max="6905" width="11.42578125" style="26"/>
    <col min="6906" max="6906" width="2.42578125" style="26" customWidth="1"/>
    <col min="6907" max="6907" width="49" style="26" customWidth="1"/>
    <col min="6908" max="6908" width="16.85546875" style="26" customWidth="1"/>
    <col min="6909" max="6909" width="1.140625" style="26" customWidth="1"/>
    <col min="6910" max="6910" width="20.5703125" style="26" customWidth="1"/>
    <col min="6911" max="6911" width="17.5703125" style="26" customWidth="1"/>
    <col min="6912" max="6912" width="18.140625" style="26" customWidth="1"/>
    <col min="6913" max="6913" width="17.140625" style="26" customWidth="1"/>
    <col min="6914" max="6914" width="22.42578125" style="26" bestFit="1" customWidth="1"/>
    <col min="6915" max="6915" width="22.140625" style="26" customWidth="1"/>
    <col min="6916" max="6916" width="17.85546875" style="26" customWidth="1"/>
    <col min="6917" max="6917" width="22.42578125" style="26" customWidth="1"/>
    <col min="6918" max="6918" width="10.140625" style="26" bestFit="1" customWidth="1"/>
    <col min="6919" max="6919" width="13.42578125" style="26" customWidth="1"/>
    <col min="6920" max="6920" width="7.42578125" style="26" bestFit="1" customWidth="1"/>
    <col min="6921" max="6921" width="15.42578125" style="26" bestFit="1" customWidth="1"/>
    <col min="6922" max="6922" width="7.42578125" style="26" bestFit="1" customWidth="1"/>
    <col min="6923" max="6923" width="19.5703125" style="26" bestFit="1" customWidth="1"/>
    <col min="6924" max="6924" width="7.42578125" style="26" bestFit="1" customWidth="1"/>
    <col min="6925" max="6925" width="26.85546875" style="26" bestFit="1" customWidth="1"/>
    <col min="6926" max="6926" width="19.85546875" style="26" bestFit="1" customWidth="1"/>
    <col min="6927" max="7161" width="11.42578125" style="26"/>
    <col min="7162" max="7162" width="2.42578125" style="26" customWidth="1"/>
    <col min="7163" max="7163" width="49" style="26" customWidth="1"/>
    <col min="7164" max="7164" width="16.85546875" style="26" customWidth="1"/>
    <col min="7165" max="7165" width="1.140625" style="26" customWidth="1"/>
    <col min="7166" max="7166" width="20.5703125" style="26" customWidth="1"/>
    <col min="7167" max="7167" width="17.5703125" style="26" customWidth="1"/>
    <col min="7168" max="7168" width="18.140625" style="26" customWidth="1"/>
    <col min="7169" max="7169" width="17.140625" style="26" customWidth="1"/>
    <col min="7170" max="7170" width="22.42578125" style="26" bestFit="1" customWidth="1"/>
    <col min="7171" max="7171" width="22.140625" style="26" customWidth="1"/>
    <col min="7172" max="7172" width="17.85546875" style="26" customWidth="1"/>
    <col min="7173" max="7173" width="22.42578125" style="26" customWidth="1"/>
    <col min="7174" max="7174" width="10.140625" style="26" bestFit="1" customWidth="1"/>
    <col min="7175" max="7175" width="13.42578125" style="26" customWidth="1"/>
    <col min="7176" max="7176" width="7.42578125" style="26" bestFit="1" customWidth="1"/>
    <col min="7177" max="7177" width="15.42578125" style="26" bestFit="1" customWidth="1"/>
    <col min="7178" max="7178" width="7.42578125" style="26" bestFit="1" customWidth="1"/>
    <col min="7179" max="7179" width="19.5703125" style="26" bestFit="1" customWidth="1"/>
    <col min="7180" max="7180" width="7.42578125" style="26" bestFit="1" customWidth="1"/>
    <col min="7181" max="7181" width="26.85546875" style="26" bestFit="1" customWidth="1"/>
    <col min="7182" max="7182" width="19.85546875" style="26" bestFit="1" customWidth="1"/>
    <col min="7183" max="7417" width="11.42578125" style="26"/>
    <col min="7418" max="7418" width="2.42578125" style="26" customWidth="1"/>
    <col min="7419" max="7419" width="49" style="26" customWidth="1"/>
    <col min="7420" max="7420" width="16.85546875" style="26" customWidth="1"/>
    <col min="7421" max="7421" width="1.140625" style="26" customWidth="1"/>
    <col min="7422" max="7422" width="20.5703125" style="26" customWidth="1"/>
    <col min="7423" max="7423" width="17.5703125" style="26" customWidth="1"/>
    <col min="7424" max="7424" width="18.140625" style="26" customWidth="1"/>
    <col min="7425" max="7425" width="17.140625" style="26" customWidth="1"/>
    <col min="7426" max="7426" width="22.42578125" style="26" bestFit="1" customWidth="1"/>
    <col min="7427" max="7427" width="22.140625" style="26" customWidth="1"/>
    <col min="7428" max="7428" width="17.85546875" style="26" customWidth="1"/>
    <col min="7429" max="7429" width="22.42578125" style="26" customWidth="1"/>
    <col min="7430" max="7430" width="10.140625" style="26" bestFit="1" customWidth="1"/>
    <col min="7431" max="7431" width="13.42578125" style="26" customWidth="1"/>
    <col min="7432" max="7432" width="7.42578125" style="26" bestFit="1" customWidth="1"/>
    <col min="7433" max="7433" width="15.42578125" style="26" bestFit="1" customWidth="1"/>
    <col min="7434" max="7434" width="7.42578125" style="26" bestFit="1" customWidth="1"/>
    <col min="7435" max="7435" width="19.5703125" style="26" bestFit="1" customWidth="1"/>
    <col min="7436" max="7436" width="7.42578125" style="26" bestFit="1" customWidth="1"/>
    <col min="7437" max="7437" width="26.85546875" style="26" bestFit="1" customWidth="1"/>
    <col min="7438" max="7438" width="19.85546875" style="26" bestFit="1" customWidth="1"/>
    <col min="7439" max="7673" width="11.42578125" style="26"/>
    <col min="7674" max="7674" width="2.42578125" style="26" customWidth="1"/>
    <col min="7675" max="7675" width="49" style="26" customWidth="1"/>
    <col min="7676" max="7676" width="16.85546875" style="26" customWidth="1"/>
    <col min="7677" max="7677" width="1.140625" style="26" customWidth="1"/>
    <col min="7678" max="7678" width="20.5703125" style="26" customWidth="1"/>
    <col min="7679" max="7679" width="17.5703125" style="26" customWidth="1"/>
    <col min="7680" max="7680" width="18.140625" style="26" customWidth="1"/>
    <col min="7681" max="7681" width="17.140625" style="26" customWidth="1"/>
    <col min="7682" max="7682" width="22.42578125" style="26" bestFit="1" customWidth="1"/>
    <col min="7683" max="7683" width="22.140625" style="26" customWidth="1"/>
    <col min="7684" max="7684" width="17.85546875" style="26" customWidth="1"/>
    <col min="7685" max="7685" width="22.42578125" style="26" customWidth="1"/>
    <col min="7686" max="7686" width="10.140625" style="26" bestFit="1" customWidth="1"/>
    <col min="7687" max="7687" width="13.42578125" style="26" customWidth="1"/>
    <col min="7688" max="7688" width="7.42578125" style="26" bestFit="1" customWidth="1"/>
    <col min="7689" max="7689" width="15.42578125" style="26" bestFit="1" customWidth="1"/>
    <col min="7690" max="7690" width="7.42578125" style="26" bestFit="1" customWidth="1"/>
    <col min="7691" max="7691" width="19.5703125" style="26" bestFit="1" customWidth="1"/>
    <col min="7692" max="7692" width="7.42578125" style="26" bestFit="1" customWidth="1"/>
    <col min="7693" max="7693" width="26.85546875" style="26" bestFit="1" customWidth="1"/>
    <col min="7694" max="7694" width="19.85546875" style="26" bestFit="1" customWidth="1"/>
    <col min="7695" max="7929" width="11.42578125" style="26"/>
    <col min="7930" max="7930" width="2.42578125" style="26" customWidth="1"/>
    <col min="7931" max="7931" width="49" style="26" customWidth="1"/>
    <col min="7932" max="7932" width="16.85546875" style="26" customWidth="1"/>
    <col min="7933" max="7933" width="1.140625" style="26" customWidth="1"/>
    <col min="7934" max="7934" width="20.5703125" style="26" customWidth="1"/>
    <col min="7935" max="7935" width="17.5703125" style="26" customWidth="1"/>
    <col min="7936" max="7936" width="18.140625" style="26" customWidth="1"/>
    <col min="7937" max="7937" width="17.140625" style="26" customWidth="1"/>
    <col min="7938" max="7938" width="22.42578125" style="26" bestFit="1" customWidth="1"/>
    <col min="7939" max="7939" width="22.140625" style="26" customWidth="1"/>
    <col min="7940" max="7940" width="17.85546875" style="26" customWidth="1"/>
    <col min="7941" max="7941" width="22.42578125" style="26" customWidth="1"/>
    <col min="7942" max="7942" width="10.140625" style="26" bestFit="1" customWidth="1"/>
    <col min="7943" max="7943" width="13.42578125" style="26" customWidth="1"/>
    <col min="7944" max="7944" width="7.42578125" style="26" bestFit="1" customWidth="1"/>
    <col min="7945" max="7945" width="15.42578125" style="26" bestFit="1" customWidth="1"/>
    <col min="7946" max="7946" width="7.42578125" style="26" bestFit="1" customWidth="1"/>
    <col min="7947" max="7947" width="19.5703125" style="26" bestFit="1" customWidth="1"/>
    <col min="7948" max="7948" width="7.42578125" style="26" bestFit="1" customWidth="1"/>
    <col min="7949" max="7949" width="26.85546875" style="26" bestFit="1" customWidth="1"/>
    <col min="7950" max="7950" width="19.85546875" style="26" bestFit="1" customWidth="1"/>
    <col min="7951" max="8185" width="11.42578125" style="26"/>
    <col min="8186" max="8186" width="2.42578125" style="26" customWidth="1"/>
    <col min="8187" max="8187" width="49" style="26" customWidth="1"/>
    <col min="8188" max="8188" width="16.85546875" style="26" customWidth="1"/>
    <col min="8189" max="8189" width="1.140625" style="26" customWidth="1"/>
    <col min="8190" max="8190" width="20.5703125" style="26" customWidth="1"/>
    <col min="8191" max="8191" width="17.5703125" style="26" customWidth="1"/>
    <col min="8192" max="8192" width="18.140625" style="26" customWidth="1"/>
    <col min="8193" max="8193" width="17.140625" style="26" customWidth="1"/>
    <col min="8194" max="8194" width="22.42578125" style="26" bestFit="1" customWidth="1"/>
    <col min="8195" max="8195" width="22.140625" style="26" customWidth="1"/>
    <col min="8196" max="8196" width="17.85546875" style="26" customWidth="1"/>
    <col min="8197" max="8197" width="22.42578125" style="26" customWidth="1"/>
    <col min="8198" max="8198" width="10.140625" style="26" bestFit="1" customWidth="1"/>
    <col min="8199" max="8199" width="13.42578125" style="26" customWidth="1"/>
    <col min="8200" max="8200" width="7.42578125" style="26" bestFit="1" customWidth="1"/>
    <col min="8201" max="8201" width="15.42578125" style="26" bestFit="1" customWidth="1"/>
    <col min="8202" max="8202" width="7.42578125" style="26" bestFit="1" customWidth="1"/>
    <col min="8203" max="8203" width="19.5703125" style="26" bestFit="1" customWidth="1"/>
    <col min="8204" max="8204" width="7.42578125" style="26" bestFit="1" customWidth="1"/>
    <col min="8205" max="8205" width="26.85546875" style="26" bestFit="1" customWidth="1"/>
    <col min="8206" max="8206" width="19.85546875" style="26" bestFit="1" customWidth="1"/>
    <col min="8207" max="8441" width="11.42578125" style="26"/>
    <col min="8442" max="8442" width="2.42578125" style="26" customWidth="1"/>
    <col min="8443" max="8443" width="49" style="26" customWidth="1"/>
    <col min="8444" max="8444" width="16.85546875" style="26" customWidth="1"/>
    <col min="8445" max="8445" width="1.140625" style="26" customWidth="1"/>
    <col min="8446" max="8446" width="20.5703125" style="26" customWidth="1"/>
    <col min="8447" max="8447" width="17.5703125" style="26" customWidth="1"/>
    <col min="8448" max="8448" width="18.140625" style="26" customWidth="1"/>
    <col min="8449" max="8449" width="17.140625" style="26" customWidth="1"/>
    <col min="8450" max="8450" width="22.42578125" style="26" bestFit="1" customWidth="1"/>
    <col min="8451" max="8451" width="22.140625" style="26" customWidth="1"/>
    <col min="8452" max="8452" width="17.85546875" style="26" customWidth="1"/>
    <col min="8453" max="8453" width="22.42578125" style="26" customWidth="1"/>
    <col min="8454" max="8454" width="10.140625" style="26" bestFit="1" customWidth="1"/>
    <col min="8455" max="8455" width="13.42578125" style="26" customWidth="1"/>
    <col min="8456" max="8456" width="7.42578125" style="26" bestFit="1" customWidth="1"/>
    <col min="8457" max="8457" width="15.42578125" style="26" bestFit="1" customWidth="1"/>
    <col min="8458" max="8458" width="7.42578125" style="26" bestFit="1" customWidth="1"/>
    <col min="8459" max="8459" width="19.5703125" style="26" bestFit="1" customWidth="1"/>
    <col min="8460" max="8460" width="7.42578125" style="26" bestFit="1" customWidth="1"/>
    <col min="8461" max="8461" width="26.85546875" style="26" bestFit="1" customWidth="1"/>
    <col min="8462" max="8462" width="19.85546875" style="26" bestFit="1" customWidth="1"/>
    <col min="8463" max="8697" width="11.42578125" style="26"/>
    <col min="8698" max="8698" width="2.42578125" style="26" customWidth="1"/>
    <col min="8699" max="8699" width="49" style="26" customWidth="1"/>
    <col min="8700" max="8700" width="16.85546875" style="26" customWidth="1"/>
    <col min="8701" max="8701" width="1.140625" style="26" customWidth="1"/>
    <col min="8702" max="8702" width="20.5703125" style="26" customWidth="1"/>
    <col min="8703" max="8703" width="17.5703125" style="26" customWidth="1"/>
    <col min="8704" max="8704" width="18.140625" style="26" customWidth="1"/>
    <col min="8705" max="8705" width="17.140625" style="26" customWidth="1"/>
    <col min="8706" max="8706" width="22.42578125" style="26" bestFit="1" customWidth="1"/>
    <col min="8707" max="8707" width="22.140625" style="26" customWidth="1"/>
    <col min="8708" max="8708" width="17.85546875" style="26" customWidth="1"/>
    <col min="8709" max="8709" width="22.42578125" style="26" customWidth="1"/>
    <col min="8710" max="8710" width="10.140625" style="26" bestFit="1" customWidth="1"/>
    <col min="8711" max="8711" width="13.42578125" style="26" customWidth="1"/>
    <col min="8712" max="8712" width="7.42578125" style="26" bestFit="1" customWidth="1"/>
    <col min="8713" max="8713" width="15.42578125" style="26" bestFit="1" customWidth="1"/>
    <col min="8714" max="8714" width="7.42578125" style="26" bestFit="1" customWidth="1"/>
    <col min="8715" max="8715" width="19.5703125" style="26" bestFit="1" customWidth="1"/>
    <col min="8716" max="8716" width="7.42578125" style="26" bestFit="1" customWidth="1"/>
    <col min="8717" max="8717" width="26.85546875" style="26" bestFit="1" customWidth="1"/>
    <col min="8718" max="8718" width="19.85546875" style="26" bestFit="1" customWidth="1"/>
    <col min="8719" max="8953" width="11.42578125" style="26"/>
    <col min="8954" max="8954" width="2.42578125" style="26" customWidth="1"/>
    <col min="8955" max="8955" width="49" style="26" customWidth="1"/>
    <col min="8956" max="8956" width="16.85546875" style="26" customWidth="1"/>
    <col min="8957" max="8957" width="1.140625" style="26" customWidth="1"/>
    <col min="8958" max="8958" width="20.5703125" style="26" customWidth="1"/>
    <col min="8959" max="8959" width="17.5703125" style="26" customWidth="1"/>
    <col min="8960" max="8960" width="18.140625" style="26" customWidth="1"/>
    <col min="8961" max="8961" width="17.140625" style="26" customWidth="1"/>
    <col min="8962" max="8962" width="22.42578125" style="26" bestFit="1" customWidth="1"/>
    <col min="8963" max="8963" width="22.140625" style="26" customWidth="1"/>
    <col min="8964" max="8964" width="17.85546875" style="26" customWidth="1"/>
    <col min="8965" max="8965" width="22.42578125" style="26" customWidth="1"/>
    <col min="8966" max="8966" width="10.140625" style="26" bestFit="1" customWidth="1"/>
    <col min="8967" max="8967" width="13.42578125" style="26" customWidth="1"/>
    <col min="8968" max="8968" width="7.42578125" style="26" bestFit="1" customWidth="1"/>
    <col min="8969" max="8969" width="15.42578125" style="26" bestFit="1" customWidth="1"/>
    <col min="8970" max="8970" width="7.42578125" style="26" bestFit="1" customWidth="1"/>
    <col min="8971" max="8971" width="19.5703125" style="26" bestFit="1" customWidth="1"/>
    <col min="8972" max="8972" width="7.42578125" style="26" bestFit="1" customWidth="1"/>
    <col min="8973" max="8973" width="26.85546875" style="26" bestFit="1" customWidth="1"/>
    <col min="8974" max="8974" width="19.85546875" style="26" bestFit="1" customWidth="1"/>
    <col min="8975" max="9209" width="11.42578125" style="26"/>
    <col min="9210" max="9210" width="2.42578125" style="26" customWidth="1"/>
    <col min="9211" max="9211" width="49" style="26" customWidth="1"/>
    <col min="9212" max="9212" width="16.85546875" style="26" customWidth="1"/>
    <col min="9213" max="9213" width="1.140625" style="26" customWidth="1"/>
    <col min="9214" max="9214" width="20.5703125" style="26" customWidth="1"/>
    <col min="9215" max="9215" width="17.5703125" style="26" customWidth="1"/>
    <col min="9216" max="9216" width="18.140625" style="26" customWidth="1"/>
    <col min="9217" max="9217" width="17.140625" style="26" customWidth="1"/>
    <col min="9218" max="9218" width="22.42578125" style="26" bestFit="1" customWidth="1"/>
    <col min="9219" max="9219" width="22.140625" style="26" customWidth="1"/>
    <col min="9220" max="9220" width="17.85546875" style="26" customWidth="1"/>
    <col min="9221" max="9221" width="22.42578125" style="26" customWidth="1"/>
    <col min="9222" max="9222" width="10.140625" style="26" bestFit="1" customWidth="1"/>
    <col min="9223" max="9223" width="13.42578125" style="26" customWidth="1"/>
    <col min="9224" max="9224" width="7.42578125" style="26" bestFit="1" customWidth="1"/>
    <col min="9225" max="9225" width="15.42578125" style="26" bestFit="1" customWidth="1"/>
    <col min="9226" max="9226" width="7.42578125" style="26" bestFit="1" customWidth="1"/>
    <col min="9227" max="9227" width="19.5703125" style="26" bestFit="1" customWidth="1"/>
    <col min="9228" max="9228" width="7.42578125" style="26" bestFit="1" customWidth="1"/>
    <col min="9229" max="9229" width="26.85546875" style="26" bestFit="1" customWidth="1"/>
    <col min="9230" max="9230" width="19.85546875" style="26" bestFit="1" customWidth="1"/>
    <col min="9231" max="9465" width="11.42578125" style="26"/>
    <col min="9466" max="9466" width="2.42578125" style="26" customWidth="1"/>
    <col min="9467" max="9467" width="49" style="26" customWidth="1"/>
    <col min="9468" max="9468" width="16.85546875" style="26" customWidth="1"/>
    <col min="9469" max="9469" width="1.140625" style="26" customWidth="1"/>
    <col min="9470" max="9470" width="20.5703125" style="26" customWidth="1"/>
    <col min="9471" max="9471" width="17.5703125" style="26" customWidth="1"/>
    <col min="9472" max="9472" width="18.140625" style="26" customWidth="1"/>
    <col min="9473" max="9473" width="17.140625" style="26" customWidth="1"/>
    <col min="9474" max="9474" width="22.42578125" style="26" bestFit="1" customWidth="1"/>
    <col min="9475" max="9475" width="22.140625" style="26" customWidth="1"/>
    <col min="9476" max="9476" width="17.85546875" style="26" customWidth="1"/>
    <col min="9477" max="9477" width="22.42578125" style="26" customWidth="1"/>
    <col min="9478" max="9478" width="10.140625" style="26" bestFit="1" customWidth="1"/>
    <col min="9479" max="9479" width="13.42578125" style="26" customWidth="1"/>
    <col min="9480" max="9480" width="7.42578125" style="26" bestFit="1" customWidth="1"/>
    <col min="9481" max="9481" width="15.42578125" style="26" bestFit="1" customWidth="1"/>
    <col min="9482" max="9482" width="7.42578125" style="26" bestFit="1" customWidth="1"/>
    <col min="9483" max="9483" width="19.5703125" style="26" bestFit="1" customWidth="1"/>
    <col min="9484" max="9484" width="7.42578125" style="26" bestFit="1" customWidth="1"/>
    <col min="9485" max="9485" width="26.85546875" style="26" bestFit="1" customWidth="1"/>
    <col min="9486" max="9486" width="19.85546875" style="26" bestFit="1" customWidth="1"/>
    <col min="9487" max="9721" width="11.42578125" style="26"/>
    <col min="9722" max="9722" width="2.42578125" style="26" customWidth="1"/>
    <col min="9723" max="9723" width="49" style="26" customWidth="1"/>
    <col min="9724" max="9724" width="16.85546875" style="26" customWidth="1"/>
    <col min="9725" max="9725" width="1.140625" style="26" customWidth="1"/>
    <col min="9726" max="9726" width="20.5703125" style="26" customWidth="1"/>
    <col min="9727" max="9727" width="17.5703125" style="26" customWidth="1"/>
    <col min="9728" max="9728" width="18.140625" style="26" customWidth="1"/>
    <col min="9729" max="9729" width="17.140625" style="26" customWidth="1"/>
    <col min="9730" max="9730" width="22.42578125" style="26" bestFit="1" customWidth="1"/>
    <col min="9731" max="9731" width="22.140625" style="26" customWidth="1"/>
    <col min="9732" max="9732" width="17.85546875" style="26" customWidth="1"/>
    <col min="9733" max="9733" width="22.42578125" style="26" customWidth="1"/>
    <col min="9734" max="9734" width="10.140625" style="26" bestFit="1" customWidth="1"/>
    <col min="9735" max="9735" width="13.42578125" style="26" customWidth="1"/>
    <col min="9736" max="9736" width="7.42578125" style="26" bestFit="1" customWidth="1"/>
    <col min="9737" max="9737" width="15.42578125" style="26" bestFit="1" customWidth="1"/>
    <col min="9738" max="9738" width="7.42578125" style="26" bestFit="1" customWidth="1"/>
    <col min="9739" max="9739" width="19.5703125" style="26" bestFit="1" customWidth="1"/>
    <col min="9740" max="9740" width="7.42578125" style="26" bestFit="1" customWidth="1"/>
    <col min="9741" max="9741" width="26.85546875" style="26" bestFit="1" customWidth="1"/>
    <col min="9742" max="9742" width="19.85546875" style="26" bestFit="1" customWidth="1"/>
    <col min="9743" max="9977" width="11.42578125" style="26"/>
    <col min="9978" max="9978" width="2.42578125" style="26" customWidth="1"/>
    <col min="9979" max="9979" width="49" style="26" customWidth="1"/>
    <col min="9980" max="9980" width="16.85546875" style="26" customWidth="1"/>
    <col min="9981" max="9981" width="1.140625" style="26" customWidth="1"/>
    <col min="9982" max="9982" width="20.5703125" style="26" customWidth="1"/>
    <col min="9983" max="9983" width="17.5703125" style="26" customWidth="1"/>
    <col min="9984" max="9984" width="18.140625" style="26" customWidth="1"/>
    <col min="9985" max="9985" width="17.140625" style="26" customWidth="1"/>
    <col min="9986" max="9986" width="22.42578125" style="26" bestFit="1" customWidth="1"/>
    <col min="9987" max="9987" width="22.140625" style="26" customWidth="1"/>
    <col min="9988" max="9988" width="17.85546875" style="26" customWidth="1"/>
    <col min="9989" max="9989" width="22.42578125" style="26" customWidth="1"/>
    <col min="9990" max="9990" width="10.140625" style="26" bestFit="1" customWidth="1"/>
    <col min="9991" max="9991" width="13.42578125" style="26" customWidth="1"/>
    <col min="9992" max="9992" width="7.42578125" style="26" bestFit="1" customWidth="1"/>
    <col min="9993" max="9993" width="15.42578125" style="26" bestFit="1" customWidth="1"/>
    <col min="9994" max="9994" width="7.42578125" style="26" bestFit="1" customWidth="1"/>
    <col min="9995" max="9995" width="19.5703125" style="26" bestFit="1" customWidth="1"/>
    <col min="9996" max="9996" width="7.42578125" style="26" bestFit="1" customWidth="1"/>
    <col min="9997" max="9997" width="26.85546875" style="26" bestFit="1" customWidth="1"/>
    <col min="9998" max="9998" width="19.85546875" style="26" bestFit="1" customWidth="1"/>
    <col min="9999" max="10233" width="11.42578125" style="26"/>
    <col min="10234" max="10234" width="2.42578125" style="26" customWidth="1"/>
    <col min="10235" max="10235" width="49" style="26" customWidth="1"/>
    <col min="10236" max="10236" width="16.85546875" style="26" customWidth="1"/>
    <col min="10237" max="10237" width="1.140625" style="26" customWidth="1"/>
    <col min="10238" max="10238" width="20.5703125" style="26" customWidth="1"/>
    <col min="10239" max="10239" width="17.5703125" style="26" customWidth="1"/>
    <col min="10240" max="10240" width="18.140625" style="26" customWidth="1"/>
    <col min="10241" max="10241" width="17.140625" style="26" customWidth="1"/>
    <col min="10242" max="10242" width="22.42578125" style="26" bestFit="1" customWidth="1"/>
    <col min="10243" max="10243" width="22.140625" style="26" customWidth="1"/>
    <col min="10244" max="10244" width="17.85546875" style="26" customWidth="1"/>
    <col min="10245" max="10245" width="22.42578125" style="26" customWidth="1"/>
    <col min="10246" max="10246" width="10.140625" style="26" bestFit="1" customWidth="1"/>
    <col min="10247" max="10247" width="13.42578125" style="26" customWidth="1"/>
    <col min="10248" max="10248" width="7.42578125" style="26" bestFit="1" customWidth="1"/>
    <col min="10249" max="10249" width="15.42578125" style="26" bestFit="1" customWidth="1"/>
    <col min="10250" max="10250" width="7.42578125" style="26" bestFit="1" customWidth="1"/>
    <col min="10251" max="10251" width="19.5703125" style="26" bestFit="1" customWidth="1"/>
    <col min="10252" max="10252" width="7.42578125" style="26" bestFit="1" customWidth="1"/>
    <col min="10253" max="10253" width="26.85546875" style="26" bestFit="1" customWidth="1"/>
    <col min="10254" max="10254" width="19.85546875" style="26" bestFit="1" customWidth="1"/>
    <col min="10255" max="10489" width="11.42578125" style="26"/>
    <col min="10490" max="10490" width="2.42578125" style="26" customWidth="1"/>
    <col min="10491" max="10491" width="49" style="26" customWidth="1"/>
    <col min="10492" max="10492" width="16.85546875" style="26" customWidth="1"/>
    <col min="10493" max="10493" width="1.140625" style="26" customWidth="1"/>
    <col min="10494" max="10494" width="20.5703125" style="26" customWidth="1"/>
    <col min="10495" max="10495" width="17.5703125" style="26" customWidth="1"/>
    <col min="10496" max="10496" width="18.140625" style="26" customWidth="1"/>
    <col min="10497" max="10497" width="17.140625" style="26" customWidth="1"/>
    <col min="10498" max="10498" width="22.42578125" style="26" bestFit="1" customWidth="1"/>
    <col min="10499" max="10499" width="22.140625" style="26" customWidth="1"/>
    <col min="10500" max="10500" width="17.85546875" style="26" customWidth="1"/>
    <col min="10501" max="10501" width="22.42578125" style="26" customWidth="1"/>
    <col min="10502" max="10502" width="10.140625" style="26" bestFit="1" customWidth="1"/>
    <col min="10503" max="10503" width="13.42578125" style="26" customWidth="1"/>
    <col min="10504" max="10504" width="7.42578125" style="26" bestFit="1" customWidth="1"/>
    <col min="10505" max="10505" width="15.42578125" style="26" bestFit="1" customWidth="1"/>
    <col min="10506" max="10506" width="7.42578125" style="26" bestFit="1" customWidth="1"/>
    <col min="10507" max="10507" width="19.5703125" style="26" bestFit="1" customWidth="1"/>
    <col min="10508" max="10508" width="7.42578125" style="26" bestFit="1" customWidth="1"/>
    <col min="10509" max="10509" width="26.85546875" style="26" bestFit="1" customWidth="1"/>
    <col min="10510" max="10510" width="19.85546875" style="26" bestFit="1" customWidth="1"/>
    <col min="10511" max="10745" width="11.42578125" style="26"/>
    <col min="10746" max="10746" width="2.42578125" style="26" customWidth="1"/>
    <col min="10747" max="10747" width="49" style="26" customWidth="1"/>
    <col min="10748" max="10748" width="16.85546875" style="26" customWidth="1"/>
    <col min="10749" max="10749" width="1.140625" style="26" customWidth="1"/>
    <col min="10750" max="10750" width="20.5703125" style="26" customWidth="1"/>
    <col min="10751" max="10751" width="17.5703125" style="26" customWidth="1"/>
    <col min="10752" max="10752" width="18.140625" style="26" customWidth="1"/>
    <col min="10753" max="10753" width="17.140625" style="26" customWidth="1"/>
    <col min="10754" max="10754" width="22.42578125" style="26" bestFit="1" customWidth="1"/>
    <col min="10755" max="10755" width="22.140625" style="26" customWidth="1"/>
    <col min="10756" max="10756" width="17.85546875" style="26" customWidth="1"/>
    <col min="10757" max="10757" width="22.42578125" style="26" customWidth="1"/>
    <col min="10758" max="10758" width="10.140625" style="26" bestFit="1" customWidth="1"/>
    <col min="10759" max="10759" width="13.42578125" style="26" customWidth="1"/>
    <col min="10760" max="10760" width="7.42578125" style="26" bestFit="1" customWidth="1"/>
    <col min="10761" max="10761" width="15.42578125" style="26" bestFit="1" customWidth="1"/>
    <col min="10762" max="10762" width="7.42578125" style="26" bestFit="1" customWidth="1"/>
    <col min="10763" max="10763" width="19.5703125" style="26" bestFit="1" customWidth="1"/>
    <col min="10764" max="10764" width="7.42578125" style="26" bestFit="1" customWidth="1"/>
    <col min="10765" max="10765" width="26.85546875" style="26" bestFit="1" customWidth="1"/>
    <col min="10766" max="10766" width="19.85546875" style="26" bestFit="1" customWidth="1"/>
    <col min="10767" max="11001" width="11.42578125" style="26"/>
    <col min="11002" max="11002" width="2.42578125" style="26" customWidth="1"/>
    <col min="11003" max="11003" width="49" style="26" customWidth="1"/>
    <col min="11004" max="11004" width="16.85546875" style="26" customWidth="1"/>
    <col min="11005" max="11005" width="1.140625" style="26" customWidth="1"/>
    <col min="11006" max="11006" width="20.5703125" style="26" customWidth="1"/>
    <col min="11007" max="11007" width="17.5703125" style="26" customWidth="1"/>
    <col min="11008" max="11008" width="18.140625" style="26" customWidth="1"/>
    <col min="11009" max="11009" width="17.140625" style="26" customWidth="1"/>
    <col min="11010" max="11010" width="22.42578125" style="26" bestFit="1" customWidth="1"/>
    <col min="11011" max="11011" width="22.140625" style="26" customWidth="1"/>
    <col min="11012" max="11012" width="17.85546875" style="26" customWidth="1"/>
    <col min="11013" max="11013" width="22.42578125" style="26" customWidth="1"/>
    <col min="11014" max="11014" width="10.140625" style="26" bestFit="1" customWidth="1"/>
    <col min="11015" max="11015" width="13.42578125" style="26" customWidth="1"/>
    <col min="11016" max="11016" width="7.42578125" style="26" bestFit="1" customWidth="1"/>
    <col min="11017" max="11017" width="15.42578125" style="26" bestFit="1" customWidth="1"/>
    <col min="11018" max="11018" width="7.42578125" style="26" bestFit="1" customWidth="1"/>
    <col min="11019" max="11019" width="19.5703125" style="26" bestFit="1" customWidth="1"/>
    <col min="11020" max="11020" width="7.42578125" style="26" bestFit="1" customWidth="1"/>
    <col min="11021" max="11021" width="26.85546875" style="26" bestFit="1" customWidth="1"/>
    <col min="11022" max="11022" width="19.85546875" style="26" bestFit="1" customWidth="1"/>
    <col min="11023" max="11257" width="11.42578125" style="26"/>
    <col min="11258" max="11258" width="2.42578125" style="26" customWidth="1"/>
    <col min="11259" max="11259" width="49" style="26" customWidth="1"/>
    <col min="11260" max="11260" width="16.85546875" style="26" customWidth="1"/>
    <col min="11261" max="11261" width="1.140625" style="26" customWidth="1"/>
    <col min="11262" max="11262" width="20.5703125" style="26" customWidth="1"/>
    <col min="11263" max="11263" width="17.5703125" style="26" customWidth="1"/>
    <col min="11264" max="11264" width="18.140625" style="26" customWidth="1"/>
    <col min="11265" max="11265" width="17.140625" style="26" customWidth="1"/>
    <col min="11266" max="11266" width="22.42578125" style="26" bestFit="1" customWidth="1"/>
    <col min="11267" max="11267" width="22.140625" style="26" customWidth="1"/>
    <col min="11268" max="11268" width="17.85546875" style="26" customWidth="1"/>
    <col min="11269" max="11269" width="22.42578125" style="26" customWidth="1"/>
    <col min="11270" max="11270" width="10.140625" style="26" bestFit="1" customWidth="1"/>
    <col min="11271" max="11271" width="13.42578125" style="26" customWidth="1"/>
    <col min="11272" max="11272" width="7.42578125" style="26" bestFit="1" customWidth="1"/>
    <col min="11273" max="11273" width="15.42578125" style="26" bestFit="1" customWidth="1"/>
    <col min="11274" max="11274" width="7.42578125" style="26" bestFit="1" customWidth="1"/>
    <col min="11275" max="11275" width="19.5703125" style="26" bestFit="1" customWidth="1"/>
    <col min="11276" max="11276" width="7.42578125" style="26" bestFit="1" customWidth="1"/>
    <col min="11277" max="11277" width="26.85546875" style="26" bestFit="1" customWidth="1"/>
    <col min="11278" max="11278" width="19.85546875" style="26" bestFit="1" customWidth="1"/>
    <col min="11279" max="11513" width="11.42578125" style="26"/>
    <col min="11514" max="11514" width="2.42578125" style="26" customWidth="1"/>
    <col min="11515" max="11515" width="49" style="26" customWidth="1"/>
    <col min="11516" max="11516" width="16.85546875" style="26" customWidth="1"/>
    <col min="11517" max="11517" width="1.140625" style="26" customWidth="1"/>
    <col min="11518" max="11518" width="20.5703125" style="26" customWidth="1"/>
    <col min="11519" max="11519" width="17.5703125" style="26" customWidth="1"/>
    <col min="11520" max="11520" width="18.140625" style="26" customWidth="1"/>
    <col min="11521" max="11521" width="17.140625" style="26" customWidth="1"/>
    <col min="11522" max="11522" width="22.42578125" style="26" bestFit="1" customWidth="1"/>
    <col min="11523" max="11523" width="22.140625" style="26" customWidth="1"/>
    <col min="11524" max="11524" width="17.85546875" style="26" customWidth="1"/>
    <col min="11525" max="11525" width="22.42578125" style="26" customWidth="1"/>
    <col min="11526" max="11526" width="10.140625" style="26" bestFit="1" customWidth="1"/>
    <col min="11527" max="11527" width="13.42578125" style="26" customWidth="1"/>
    <col min="11528" max="11528" width="7.42578125" style="26" bestFit="1" customWidth="1"/>
    <col min="11529" max="11529" width="15.42578125" style="26" bestFit="1" customWidth="1"/>
    <col min="11530" max="11530" width="7.42578125" style="26" bestFit="1" customWidth="1"/>
    <col min="11531" max="11531" width="19.5703125" style="26" bestFit="1" customWidth="1"/>
    <col min="11532" max="11532" width="7.42578125" style="26" bestFit="1" customWidth="1"/>
    <col min="11533" max="11533" width="26.85546875" style="26" bestFit="1" customWidth="1"/>
    <col min="11534" max="11534" width="19.85546875" style="26" bestFit="1" customWidth="1"/>
    <col min="11535" max="11769" width="11.42578125" style="26"/>
    <col min="11770" max="11770" width="2.42578125" style="26" customWidth="1"/>
    <col min="11771" max="11771" width="49" style="26" customWidth="1"/>
    <col min="11772" max="11772" width="16.85546875" style="26" customWidth="1"/>
    <col min="11773" max="11773" width="1.140625" style="26" customWidth="1"/>
    <col min="11774" max="11774" width="20.5703125" style="26" customWidth="1"/>
    <col min="11775" max="11775" width="17.5703125" style="26" customWidth="1"/>
    <col min="11776" max="11776" width="18.140625" style="26" customWidth="1"/>
    <col min="11777" max="11777" width="17.140625" style="26" customWidth="1"/>
    <col min="11778" max="11778" width="22.42578125" style="26" bestFit="1" customWidth="1"/>
    <col min="11779" max="11779" width="22.140625" style="26" customWidth="1"/>
    <col min="11780" max="11780" width="17.85546875" style="26" customWidth="1"/>
    <col min="11781" max="11781" width="22.42578125" style="26" customWidth="1"/>
    <col min="11782" max="11782" width="10.140625" style="26" bestFit="1" customWidth="1"/>
    <col min="11783" max="11783" width="13.42578125" style="26" customWidth="1"/>
    <col min="11784" max="11784" width="7.42578125" style="26" bestFit="1" customWidth="1"/>
    <col min="11785" max="11785" width="15.42578125" style="26" bestFit="1" customWidth="1"/>
    <col min="11786" max="11786" width="7.42578125" style="26" bestFit="1" customWidth="1"/>
    <col min="11787" max="11787" width="19.5703125" style="26" bestFit="1" customWidth="1"/>
    <col min="11788" max="11788" width="7.42578125" style="26" bestFit="1" customWidth="1"/>
    <col min="11789" max="11789" width="26.85546875" style="26" bestFit="1" customWidth="1"/>
    <col min="11790" max="11790" width="19.85546875" style="26" bestFit="1" customWidth="1"/>
    <col min="11791" max="12025" width="11.42578125" style="26"/>
    <col min="12026" max="12026" width="2.42578125" style="26" customWidth="1"/>
    <col min="12027" max="12027" width="49" style="26" customWidth="1"/>
    <col min="12028" max="12028" width="16.85546875" style="26" customWidth="1"/>
    <col min="12029" max="12029" width="1.140625" style="26" customWidth="1"/>
    <col min="12030" max="12030" width="20.5703125" style="26" customWidth="1"/>
    <col min="12031" max="12031" width="17.5703125" style="26" customWidth="1"/>
    <col min="12032" max="12032" width="18.140625" style="26" customWidth="1"/>
    <col min="12033" max="12033" width="17.140625" style="26" customWidth="1"/>
    <col min="12034" max="12034" width="22.42578125" style="26" bestFit="1" customWidth="1"/>
    <col min="12035" max="12035" width="22.140625" style="26" customWidth="1"/>
    <col min="12036" max="12036" width="17.85546875" style="26" customWidth="1"/>
    <col min="12037" max="12037" width="22.42578125" style="26" customWidth="1"/>
    <col min="12038" max="12038" width="10.140625" style="26" bestFit="1" customWidth="1"/>
    <col min="12039" max="12039" width="13.42578125" style="26" customWidth="1"/>
    <col min="12040" max="12040" width="7.42578125" style="26" bestFit="1" customWidth="1"/>
    <col min="12041" max="12041" width="15.42578125" style="26" bestFit="1" customWidth="1"/>
    <col min="12042" max="12042" width="7.42578125" style="26" bestFit="1" customWidth="1"/>
    <col min="12043" max="12043" width="19.5703125" style="26" bestFit="1" customWidth="1"/>
    <col min="12044" max="12044" width="7.42578125" style="26" bestFit="1" customWidth="1"/>
    <col min="12045" max="12045" width="26.85546875" style="26" bestFit="1" customWidth="1"/>
    <col min="12046" max="12046" width="19.85546875" style="26" bestFit="1" customWidth="1"/>
    <col min="12047" max="12281" width="11.42578125" style="26"/>
    <col min="12282" max="12282" width="2.42578125" style="26" customWidth="1"/>
    <col min="12283" max="12283" width="49" style="26" customWidth="1"/>
    <col min="12284" max="12284" width="16.85546875" style="26" customWidth="1"/>
    <col min="12285" max="12285" width="1.140625" style="26" customWidth="1"/>
    <col min="12286" max="12286" width="20.5703125" style="26" customWidth="1"/>
    <col min="12287" max="12287" width="17.5703125" style="26" customWidth="1"/>
    <col min="12288" max="12288" width="18.140625" style="26" customWidth="1"/>
    <col min="12289" max="12289" width="17.140625" style="26" customWidth="1"/>
    <col min="12290" max="12290" width="22.42578125" style="26" bestFit="1" customWidth="1"/>
    <col min="12291" max="12291" width="22.140625" style="26" customWidth="1"/>
    <col min="12292" max="12292" width="17.85546875" style="26" customWidth="1"/>
    <col min="12293" max="12293" width="22.42578125" style="26" customWidth="1"/>
    <col min="12294" max="12294" width="10.140625" style="26" bestFit="1" customWidth="1"/>
    <col min="12295" max="12295" width="13.42578125" style="26" customWidth="1"/>
    <col min="12296" max="12296" width="7.42578125" style="26" bestFit="1" customWidth="1"/>
    <col min="12297" max="12297" width="15.42578125" style="26" bestFit="1" customWidth="1"/>
    <col min="12298" max="12298" width="7.42578125" style="26" bestFit="1" customWidth="1"/>
    <col min="12299" max="12299" width="19.5703125" style="26" bestFit="1" customWidth="1"/>
    <col min="12300" max="12300" width="7.42578125" style="26" bestFit="1" customWidth="1"/>
    <col min="12301" max="12301" width="26.85546875" style="26" bestFit="1" customWidth="1"/>
    <col min="12302" max="12302" width="19.85546875" style="26" bestFit="1" customWidth="1"/>
    <col min="12303" max="12537" width="11.42578125" style="26"/>
    <col min="12538" max="12538" width="2.42578125" style="26" customWidth="1"/>
    <col min="12539" max="12539" width="49" style="26" customWidth="1"/>
    <col min="12540" max="12540" width="16.85546875" style="26" customWidth="1"/>
    <col min="12541" max="12541" width="1.140625" style="26" customWidth="1"/>
    <col min="12542" max="12542" width="20.5703125" style="26" customWidth="1"/>
    <col min="12543" max="12543" width="17.5703125" style="26" customWidth="1"/>
    <col min="12544" max="12544" width="18.140625" style="26" customWidth="1"/>
    <col min="12545" max="12545" width="17.140625" style="26" customWidth="1"/>
    <col min="12546" max="12546" width="22.42578125" style="26" bestFit="1" customWidth="1"/>
    <col min="12547" max="12547" width="22.140625" style="26" customWidth="1"/>
    <col min="12548" max="12548" width="17.85546875" style="26" customWidth="1"/>
    <col min="12549" max="12549" width="22.42578125" style="26" customWidth="1"/>
    <col min="12550" max="12550" width="10.140625" style="26" bestFit="1" customWidth="1"/>
    <col min="12551" max="12551" width="13.42578125" style="26" customWidth="1"/>
    <col min="12552" max="12552" width="7.42578125" style="26" bestFit="1" customWidth="1"/>
    <col min="12553" max="12553" width="15.42578125" style="26" bestFit="1" customWidth="1"/>
    <col min="12554" max="12554" width="7.42578125" style="26" bestFit="1" customWidth="1"/>
    <col min="12555" max="12555" width="19.5703125" style="26" bestFit="1" customWidth="1"/>
    <col min="12556" max="12556" width="7.42578125" style="26" bestFit="1" customWidth="1"/>
    <col min="12557" max="12557" width="26.85546875" style="26" bestFit="1" customWidth="1"/>
    <col min="12558" max="12558" width="19.85546875" style="26" bestFit="1" customWidth="1"/>
    <col min="12559" max="12793" width="11.42578125" style="26"/>
    <col min="12794" max="12794" width="2.42578125" style="26" customWidth="1"/>
    <col min="12795" max="12795" width="49" style="26" customWidth="1"/>
    <col min="12796" max="12796" width="16.85546875" style="26" customWidth="1"/>
    <col min="12797" max="12797" width="1.140625" style="26" customWidth="1"/>
    <col min="12798" max="12798" width="20.5703125" style="26" customWidth="1"/>
    <col min="12799" max="12799" width="17.5703125" style="26" customWidth="1"/>
    <col min="12800" max="12800" width="18.140625" style="26" customWidth="1"/>
    <col min="12801" max="12801" width="17.140625" style="26" customWidth="1"/>
    <col min="12802" max="12802" width="22.42578125" style="26" bestFit="1" customWidth="1"/>
    <col min="12803" max="12803" width="22.140625" style="26" customWidth="1"/>
    <col min="12804" max="12804" width="17.85546875" style="26" customWidth="1"/>
    <col min="12805" max="12805" width="22.42578125" style="26" customWidth="1"/>
    <col min="12806" max="12806" width="10.140625" style="26" bestFit="1" customWidth="1"/>
    <col min="12807" max="12807" width="13.42578125" style="26" customWidth="1"/>
    <col min="12808" max="12808" width="7.42578125" style="26" bestFit="1" customWidth="1"/>
    <col min="12809" max="12809" width="15.42578125" style="26" bestFit="1" customWidth="1"/>
    <col min="12810" max="12810" width="7.42578125" style="26" bestFit="1" customWidth="1"/>
    <col min="12811" max="12811" width="19.5703125" style="26" bestFit="1" customWidth="1"/>
    <col min="12812" max="12812" width="7.42578125" style="26" bestFit="1" customWidth="1"/>
    <col min="12813" max="12813" width="26.85546875" style="26" bestFit="1" customWidth="1"/>
    <col min="12814" max="12814" width="19.85546875" style="26" bestFit="1" customWidth="1"/>
    <col min="12815" max="13049" width="11.42578125" style="26"/>
    <col min="13050" max="13050" width="2.42578125" style="26" customWidth="1"/>
    <col min="13051" max="13051" width="49" style="26" customWidth="1"/>
    <col min="13052" max="13052" width="16.85546875" style="26" customWidth="1"/>
    <col min="13053" max="13053" width="1.140625" style="26" customWidth="1"/>
    <col min="13054" max="13054" width="20.5703125" style="26" customWidth="1"/>
    <col min="13055" max="13055" width="17.5703125" style="26" customWidth="1"/>
    <col min="13056" max="13056" width="18.140625" style="26" customWidth="1"/>
    <col min="13057" max="13057" width="17.140625" style="26" customWidth="1"/>
    <col min="13058" max="13058" width="22.42578125" style="26" bestFit="1" customWidth="1"/>
    <col min="13059" max="13059" width="22.140625" style="26" customWidth="1"/>
    <col min="13060" max="13060" width="17.85546875" style="26" customWidth="1"/>
    <col min="13061" max="13061" width="22.42578125" style="26" customWidth="1"/>
    <col min="13062" max="13062" width="10.140625" style="26" bestFit="1" customWidth="1"/>
    <col min="13063" max="13063" width="13.42578125" style="26" customWidth="1"/>
    <col min="13064" max="13064" width="7.42578125" style="26" bestFit="1" customWidth="1"/>
    <col min="13065" max="13065" width="15.42578125" style="26" bestFit="1" customWidth="1"/>
    <col min="13066" max="13066" width="7.42578125" style="26" bestFit="1" customWidth="1"/>
    <col min="13067" max="13067" width="19.5703125" style="26" bestFit="1" customWidth="1"/>
    <col min="13068" max="13068" width="7.42578125" style="26" bestFit="1" customWidth="1"/>
    <col min="13069" max="13069" width="26.85546875" style="26" bestFit="1" customWidth="1"/>
    <col min="13070" max="13070" width="19.85546875" style="26" bestFit="1" customWidth="1"/>
    <col min="13071" max="13305" width="11.42578125" style="26"/>
    <col min="13306" max="13306" width="2.42578125" style="26" customWidth="1"/>
    <col min="13307" max="13307" width="49" style="26" customWidth="1"/>
    <col min="13308" max="13308" width="16.85546875" style="26" customWidth="1"/>
    <col min="13309" max="13309" width="1.140625" style="26" customWidth="1"/>
    <col min="13310" max="13310" width="20.5703125" style="26" customWidth="1"/>
    <col min="13311" max="13311" width="17.5703125" style="26" customWidth="1"/>
    <col min="13312" max="13312" width="18.140625" style="26" customWidth="1"/>
    <col min="13313" max="13313" width="17.140625" style="26" customWidth="1"/>
    <col min="13314" max="13314" width="22.42578125" style="26" bestFit="1" customWidth="1"/>
    <col min="13315" max="13315" width="22.140625" style="26" customWidth="1"/>
    <col min="13316" max="13316" width="17.85546875" style="26" customWidth="1"/>
    <col min="13317" max="13317" width="22.42578125" style="26" customWidth="1"/>
    <col min="13318" max="13318" width="10.140625" style="26" bestFit="1" customWidth="1"/>
    <col min="13319" max="13319" width="13.42578125" style="26" customWidth="1"/>
    <col min="13320" max="13320" width="7.42578125" style="26" bestFit="1" customWidth="1"/>
    <col min="13321" max="13321" width="15.42578125" style="26" bestFit="1" customWidth="1"/>
    <col min="13322" max="13322" width="7.42578125" style="26" bestFit="1" customWidth="1"/>
    <col min="13323" max="13323" width="19.5703125" style="26" bestFit="1" customWidth="1"/>
    <col min="13324" max="13324" width="7.42578125" style="26" bestFit="1" customWidth="1"/>
    <col min="13325" max="13325" width="26.85546875" style="26" bestFit="1" customWidth="1"/>
    <col min="13326" max="13326" width="19.85546875" style="26" bestFit="1" customWidth="1"/>
    <col min="13327" max="13561" width="11.42578125" style="26"/>
    <col min="13562" max="13562" width="2.42578125" style="26" customWidth="1"/>
    <col min="13563" max="13563" width="49" style="26" customWidth="1"/>
    <col min="13564" max="13564" width="16.85546875" style="26" customWidth="1"/>
    <col min="13565" max="13565" width="1.140625" style="26" customWidth="1"/>
    <col min="13566" max="13566" width="20.5703125" style="26" customWidth="1"/>
    <col min="13567" max="13567" width="17.5703125" style="26" customWidth="1"/>
    <col min="13568" max="13568" width="18.140625" style="26" customWidth="1"/>
    <col min="13569" max="13569" width="17.140625" style="26" customWidth="1"/>
    <col min="13570" max="13570" width="22.42578125" style="26" bestFit="1" customWidth="1"/>
    <col min="13571" max="13571" width="22.140625" style="26" customWidth="1"/>
    <col min="13572" max="13572" width="17.85546875" style="26" customWidth="1"/>
    <col min="13573" max="13573" width="22.42578125" style="26" customWidth="1"/>
    <col min="13574" max="13574" width="10.140625" style="26" bestFit="1" customWidth="1"/>
    <col min="13575" max="13575" width="13.42578125" style="26" customWidth="1"/>
    <col min="13576" max="13576" width="7.42578125" style="26" bestFit="1" customWidth="1"/>
    <col min="13577" max="13577" width="15.42578125" style="26" bestFit="1" customWidth="1"/>
    <col min="13578" max="13578" width="7.42578125" style="26" bestFit="1" customWidth="1"/>
    <col min="13579" max="13579" width="19.5703125" style="26" bestFit="1" customWidth="1"/>
    <col min="13580" max="13580" width="7.42578125" style="26" bestFit="1" customWidth="1"/>
    <col min="13581" max="13581" width="26.85546875" style="26" bestFit="1" customWidth="1"/>
    <col min="13582" max="13582" width="19.85546875" style="26" bestFit="1" customWidth="1"/>
    <col min="13583" max="13817" width="11.42578125" style="26"/>
    <col min="13818" max="13818" width="2.42578125" style="26" customWidth="1"/>
    <col min="13819" max="13819" width="49" style="26" customWidth="1"/>
    <col min="13820" max="13820" width="16.85546875" style="26" customWidth="1"/>
    <col min="13821" max="13821" width="1.140625" style="26" customWidth="1"/>
    <col min="13822" max="13822" width="20.5703125" style="26" customWidth="1"/>
    <col min="13823" max="13823" width="17.5703125" style="26" customWidth="1"/>
    <col min="13824" max="13824" width="18.140625" style="26" customWidth="1"/>
    <col min="13825" max="13825" width="17.140625" style="26" customWidth="1"/>
    <col min="13826" max="13826" width="22.42578125" style="26" bestFit="1" customWidth="1"/>
    <col min="13827" max="13827" width="22.140625" style="26" customWidth="1"/>
    <col min="13828" max="13828" width="17.85546875" style="26" customWidth="1"/>
    <col min="13829" max="13829" width="22.42578125" style="26" customWidth="1"/>
    <col min="13830" max="13830" width="10.140625" style="26" bestFit="1" customWidth="1"/>
    <col min="13831" max="13831" width="13.42578125" style="26" customWidth="1"/>
    <col min="13832" max="13832" width="7.42578125" style="26" bestFit="1" customWidth="1"/>
    <col min="13833" max="13833" width="15.42578125" style="26" bestFit="1" customWidth="1"/>
    <col min="13834" max="13834" width="7.42578125" style="26" bestFit="1" customWidth="1"/>
    <col min="13835" max="13835" width="19.5703125" style="26" bestFit="1" customWidth="1"/>
    <col min="13836" max="13836" width="7.42578125" style="26" bestFit="1" customWidth="1"/>
    <col min="13837" max="13837" width="26.85546875" style="26" bestFit="1" customWidth="1"/>
    <col min="13838" max="13838" width="19.85546875" style="26" bestFit="1" customWidth="1"/>
    <col min="13839" max="14073" width="11.42578125" style="26"/>
    <col min="14074" max="14074" width="2.42578125" style="26" customWidth="1"/>
    <col min="14075" max="14075" width="49" style="26" customWidth="1"/>
    <col min="14076" max="14076" width="16.85546875" style="26" customWidth="1"/>
    <col min="14077" max="14077" width="1.140625" style="26" customWidth="1"/>
    <col min="14078" max="14078" width="20.5703125" style="26" customWidth="1"/>
    <col min="14079" max="14079" width="17.5703125" style="26" customWidth="1"/>
    <col min="14080" max="14080" width="18.140625" style="26" customWidth="1"/>
    <col min="14081" max="14081" width="17.140625" style="26" customWidth="1"/>
    <col min="14082" max="14082" width="22.42578125" style="26" bestFit="1" customWidth="1"/>
    <col min="14083" max="14083" width="22.140625" style="26" customWidth="1"/>
    <col min="14084" max="14084" width="17.85546875" style="26" customWidth="1"/>
    <col min="14085" max="14085" width="22.42578125" style="26" customWidth="1"/>
    <col min="14086" max="14086" width="10.140625" style="26" bestFit="1" customWidth="1"/>
    <col min="14087" max="14087" width="13.42578125" style="26" customWidth="1"/>
    <col min="14088" max="14088" width="7.42578125" style="26" bestFit="1" customWidth="1"/>
    <col min="14089" max="14089" width="15.42578125" style="26" bestFit="1" customWidth="1"/>
    <col min="14090" max="14090" width="7.42578125" style="26" bestFit="1" customWidth="1"/>
    <col min="14091" max="14091" width="19.5703125" style="26" bestFit="1" customWidth="1"/>
    <col min="14092" max="14092" width="7.42578125" style="26" bestFit="1" customWidth="1"/>
    <col min="14093" max="14093" width="26.85546875" style="26" bestFit="1" customWidth="1"/>
    <col min="14094" max="14094" width="19.85546875" style="26" bestFit="1" customWidth="1"/>
    <col min="14095" max="14329" width="11.42578125" style="26"/>
    <col min="14330" max="14330" width="2.42578125" style="26" customWidth="1"/>
    <col min="14331" max="14331" width="49" style="26" customWidth="1"/>
    <col min="14332" max="14332" width="16.85546875" style="26" customWidth="1"/>
    <col min="14333" max="14333" width="1.140625" style="26" customWidth="1"/>
    <col min="14334" max="14334" width="20.5703125" style="26" customWidth="1"/>
    <col min="14335" max="14335" width="17.5703125" style="26" customWidth="1"/>
    <col min="14336" max="14336" width="18.140625" style="26" customWidth="1"/>
    <col min="14337" max="14337" width="17.140625" style="26" customWidth="1"/>
    <col min="14338" max="14338" width="22.42578125" style="26" bestFit="1" customWidth="1"/>
    <col min="14339" max="14339" width="22.140625" style="26" customWidth="1"/>
    <col min="14340" max="14340" width="17.85546875" style="26" customWidth="1"/>
    <col min="14341" max="14341" width="22.42578125" style="26" customWidth="1"/>
    <col min="14342" max="14342" width="10.140625" style="26" bestFit="1" customWidth="1"/>
    <col min="14343" max="14343" width="13.42578125" style="26" customWidth="1"/>
    <col min="14344" max="14344" width="7.42578125" style="26" bestFit="1" customWidth="1"/>
    <col min="14345" max="14345" width="15.42578125" style="26" bestFit="1" customWidth="1"/>
    <col min="14346" max="14346" width="7.42578125" style="26" bestFit="1" customWidth="1"/>
    <col min="14347" max="14347" width="19.5703125" style="26" bestFit="1" customWidth="1"/>
    <col min="14348" max="14348" width="7.42578125" style="26" bestFit="1" customWidth="1"/>
    <col min="14349" max="14349" width="26.85546875" style="26" bestFit="1" customWidth="1"/>
    <col min="14350" max="14350" width="19.85546875" style="26" bestFit="1" customWidth="1"/>
    <col min="14351" max="14585" width="11.42578125" style="26"/>
    <col min="14586" max="14586" width="2.42578125" style="26" customWidth="1"/>
    <col min="14587" max="14587" width="49" style="26" customWidth="1"/>
    <col min="14588" max="14588" width="16.85546875" style="26" customWidth="1"/>
    <col min="14589" max="14589" width="1.140625" style="26" customWidth="1"/>
    <col min="14590" max="14590" width="20.5703125" style="26" customWidth="1"/>
    <col min="14591" max="14591" width="17.5703125" style="26" customWidth="1"/>
    <col min="14592" max="14592" width="18.140625" style="26" customWidth="1"/>
    <col min="14593" max="14593" width="17.140625" style="26" customWidth="1"/>
    <col min="14594" max="14594" width="22.42578125" style="26" bestFit="1" customWidth="1"/>
    <col min="14595" max="14595" width="22.140625" style="26" customWidth="1"/>
    <col min="14596" max="14596" width="17.85546875" style="26" customWidth="1"/>
    <col min="14597" max="14597" width="22.42578125" style="26" customWidth="1"/>
    <col min="14598" max="14598" width="10.140625" style="26" bestFit="1" customWidth="1"/>
    <col min="14599" max="14599" width="13.42578125" style="26" customWidth="1"/>
    <col min="14600" max="14600" width="7.42578125" style="26" bestFit="1" customWidth="1"/>
    <col min="14601" max="14601" width="15.42578125" style="26" bestFit="1" customWidth="1"/>
    <col min="14602" max="14602" width="7.42578125" style="26" bestFit="1" customWidth="1"/>
    <col min="14603" max="14603" width="19.5703125" style="26" bestFit="1" customWidth="1"/>
    <col min="14604" max="14604" width="7.42578125" style="26" bestFit="1" customWidth="1"/>
    <col min="14605" max="14605" width="26.85546875" style="26" bestFit="1" customWidth="1"/>
    <col min="14606" max="14606" width="19.85546875" style="26" bestFit="1" customWidth="1"/>
    <col min="14607" max="14841" width="11.42578125" style="26"/>
    <col min="14842" max="14842" width="2.42578125" style="26" customWidth="1"/>
    <col min="14843" max="14843" width="49" style="26" customWidth="1"/>
    <col min="14844" max="14844" width="16.85546875" style="26" customWidth="1"/>
    <col min="14845" max="14845" width="1.140625" style="26" customWidth="1"/>
    <col min="14846" max="14846" width="20.5703125" style="26" customWidth="1"/>
    <col min="14847" max="14847" width="17.5703125" style="26" customWidth="1"/>
    <col min="14848" max="14848" width="18.140625" style="26" customWidth="1"/>
    <col min="14849" max="14849" width="17.140625" style="26" customWidth="1"/>
    <col min="14850" max="14850" width="22.42578125" style="26" bestFit="1" customWidth="1"/>
    <col min="14851" max="14851" width="22.140625" style="26" customWidth="1"/>
    <col min="14852" max="14852" width="17.85546875" style="26" customWidth="1"/>
    <col min="14853" max="14853" width="22.42578125" style="26" customWidth="1"/>
    <col min="14854" max="14854" width="10.140625" style="26" bestFit="1" customWidth="1"/>
    <col min="14855" max="14855" width="13.42578125" style="26" customWidth="1"/>
    <col min="14856" max="14856" width="7.42578125" style="26" bestFit="1" customWidth="1"/>
    <col min="14857" max="14857" width="15.42578125" style="26" bestFit="1" customWidth="1"/>
    <col min="14858" max="14858" width="7.42578125" style="26" bestFit="1" customWidth="1"/>
    <col min="14859" max="14859" width="19.5703125" style="26" bestFit="1" customWidth="1"/>
    <col min="14860" max="14860" width="7.42578125" style="26" bestFit="1" customWidth="1"/>
    <col min="14861" max="14861" width="26.85546875" style="26" bestFit="1" customWidth="1"/>
    <col min="14862" max="14862" width="19.85546875" style="26" bestFit="1" customWidth="1"/>
    <col min="14863" max="15097" width="11.42578125" style="26"/>
    <col min="15098" max="15098" width="2.42578125" style="26" customWidth="1"/>
    <col min="15099" max="15099" width="49" style="26" customWidth="1"/>
    <col min="15100" max="15100" width="16.85546875" style="26" customWidth="1"/>
    <col min="15101" max="15101" width="1.140625" style="26" customWidth="1"/>
    <col min="15102" max="15102" width="20.5703125" style="26" customWidth="1"/>
    <col min="15103" max="15103" width="17.5703125" style="26" customWidth="1"/>
    <col min="15104" max="15104" width="18.140625" style="26" customWidth="1"/>
    <col min="15105" max="15105" width="17.140625" style="26" customWidth="1"/>
    <col min="15106" max="15106" width="22.42578125" style="26" bestFit="1" customWidth="1"/>
    <col min="15107" max="15107" width="22.140625" style="26" customWidth="1"/>
    <col min="15108" max="15108" width="17.85546875" style="26" customWidth="1"/>
    <col min="15109" max="15109" width="22.42578125" style="26" customWidth="1"/>
    <col min="15110" max="15110" width="10.140625" style="26" bestFit="1" customWidth="1"/>
    <col min="15111" max="15111" width="13.42578125" style="26" customWidth="1"/>
    <col min="15112" max="15112" width="7.42578125" style="26" bestFit="1" customWidth="1"/>
    <col min="15113" max="15113" width="15.42578125" style="26" bestFit="1" customWidth="1"/>
    <col min="15114" max="15114" width="7.42578125" style="26" bestFit="1" customWidth="1"/>
    <col min="15115" max="15115" width="19.5703125" style="26" bestFit="1" customWidth="1"/>
    <col min="15116" max="15116" width="7.42578125" style="26" bestFit="1" customWidth="1"/>
    <col min="15117" max="15117" width="26.85546875" style="26" bestFit="1" customWidth="1"/>
    <col min="15118" max="15118" width="19.85546875" style="26" bestFit="1" customWidth="1"/>
    <col min="15119" max="15353" width="11.42578125" style="26"/>
    <col min="15354" max="15354" width="2.42578125" style="26" customWidth="1"/>
    <col min="15355" max="15355" width="49" style="26" customWidth="1"/>
    <col min="15356" max="15356" width="16.85546875" style="26" customWidth="1"/>
    <col min="15357" max="15357" width="1.140625" style="26" customWidth="1"/>
    <col min="15358" max="15358" width="20.5703125" style="26" customWidth="1"/>
    <col min="15359" max="15359" width="17.5703125" style="26" customWidth="1"/>
    <col min="15360" max="15360" width="18.140625" style="26" customWidth="1"/>
    <col min="15361" max="15361" width="17.140625" style="26" customWidth="1"/>
    <col min="15362" max="15362" width="22.42578125" style="26" bestFit="1" customWidth="1"/>
    <col min="15363" max="15363" width="22.140625" style="26" customWidth="1"/>
    <col min="15364" max="15364" width="17.85546875" style="26" customWidth="1"/>
    <col min="15365" max="15365" width="22.42578125" style="26" customWidth="1"/>
    <col min="15366" max="15366" width="10.140625" style="26" bestFit="1" customWidth="1"/>
    <col min="15367" max="15367" width="13.42578125" style="26" customWidth="1"/>
    <col min="15368" max="15368" width="7.42578125" style="26" bestFit="1" customWidth="1"/>
    <col min="15369" max="15369" width="15.42578125" style="26" bestFit="1" customWidth="1"/>
    <col min="15370" max="15370" width="7.42578125" style="26" bestFit="1" customWidth="1"/>
    <col min="15371" max="15371" width="19.5703125" style="26" bestFit="1" customWidth="1"/>
    <col min="15372" max="15372" width="7.42578125" style="26" bestFit="1" customWidth="1"/>
    <col min="15373" max="15373" width="26.85546875" style="26" bestFit="1" customWidth="1"/>
    <col min="15374" max="15374" width="19.85546875" style="26" bestFit="1" customWidth="1"/>
    <col min="15375" max="15609" width="11.42578125" style="26"/>
    <col min="15610" max="15610" width="2.42578125" style="26" customWidth="1"/>
    <col min="15611" max="15611" width="49" style="26" customWidth="1"/>
    <col min="15612" max="15612" width="16.85546875" style="26" customWidth="1"/>
    <col min="15613" max="15613" width="1.140625" style="26" customWidth="1"/>
    <col min="15614" max="15614" width="20.5703125" style="26" customWidth="1"/>
    <col min="15615" max="15615" width="17.5703125" style="26" customWidth="1"/>
    <col min="15616" max="15616" width="18.140625" style="26" customWidth="1"/>
    <col min="15617" max="15617" width="17.140625" style="26" customWidth="1"/>
    <col min="15618" max="15618" width="22.42578125" style="26" bestFit="1" customWidth="1"/>
    <col min="15619" max="15619" width="22.140625" style="26" customWidth="1"/>
    <col min="15620" max="15620" width="17.85546875" style="26" customWidth="1"/>
    <col min="15621" max="15621" width="22.42578125" style="26" customWidth="1"/>
    <col min="15622" max="15622" width="10.140625" style="26" bestFit="1" customWidth="1"/>
    <col min="15623" max="15623" width="13.42578125" style="26" customWidth="1"/>
    <col min="15624" max="15624" width="7.42578125" style="26" bestFit="1" customWidth="1"/>
    <col min="15625" max="15625" width="15.42578125" style="26" bestFit="1" customWidth="1"/>
    <col min="15626" max="15626" width="7.42578125" style="26" bestFit="1" customWidth="1"/>
    <col min="15627" max="15627" width="19.5703125" style="26" bestFit="1" customWidth="1"/>
    <col min="15628" max="15628" width="7.42578125" style="26" bestFit="1" customWidth="1"/>
    <col min="15629" max="15629" width="26.85546875" style="26" bestFit="1" customWidth="1"/>
    <col min="15630" max="15630" width="19.85546875" style="26" bestFit="1" customWidth="1"/>
    <col min="15631" max="15865" width="11.42578125" style="26"/>
    <col min="15866" max="15866" width="2.42578125" style="26" customWidth="1"/>
    <col min="15867" max="15867" width="49" style="26" customWidth="1"/>
    <col min="15868" max="15868" width="16.85546875" style="26" customWidth="1"/>
    <col min="15869" max="15869" width="1.140625" style="26" customWidth="1"/>
    <col min="15870" max="15870" width="20.5703125" style="26" customWidth="1"/>
    <col min="15871" max="15871" width="17.5703125" style="26" customWidth="1"/>
    <col min="15872" max="15872" width="18.140625" style="26" customWidth="1"/>
    <col min="15873" max="15873" width="17.140625" style="26" customWidth="1"/>
    <col min="15874" max="15874" width="22.42578125" style="26" bestFit="1" customWidth="1"/>
    <col min="15875" max="15875" width="22.140625" style="26" customWidth="1"/>
    <col min="15876" max="15876" width="17.85546875" style="26" customWidth="1"/>
    <col min="15877" max="15877" width="22.42578125" style="26" customWidth="1"/>
    <col min="15878" max="15878" width="10.140625" style="26" bestFit="1" customWidth="1"/>
    <col min="15879" max="15879" width="13.42578125" style="26" customWidth="1"/>
    <col min="15880" max="15880" width="7.42578125" style="26" bestFit="1" customWidth="1"/>
    <col min="15881" max="15881" width="15.42578125" style="26" bestFit="1" customWidth="1"/>
    <col min="15882" max="15882" width="7.42578125" style="26" bestFit="1" customWidth="1"/>
    <col min="15883" max="15883" width="19.5703125" style="26" bestFit="1" customWidth="1"/>
    <col min="15884" max="15884" width="7.42578125" style="26" bestFit="1" customWidth="1"/>
    <col min="15885" max="15885" width="26.85546875" style="26" bestFit="1" customWidth="1"/>
    <col min="15886" max="15886" width="19.85546875" style="26" bestFit="1" customWidth="1"/>
    <col min="15887" max="16121" width="11.42578125" style="26"/>
    <col min="16122" max="16122" width="2.42578125" style="26" customWidth="1"/>
    <col min="16123" max="16123" width="49" style="26" customWidth="1"/>
    <col min="16124" max="16124" width="16.85546875" style="26" customWidth="1"/>
    <col min="16125" max="16125" width="1.140625" style="26" customWidth="1"/>
    <col min="16126" max="16126" width="20.5703125" style="26" customWidth="1"/>
    <col min="16127" max="16127" width="17.5703125" style="26" customWidth="1"/>
    <col min="16128" max="16128" width="18.140625" style="26" customWidth="1"/>
    <col min="16129" max="16129" width="17.140625" style="26" customWidth="1"/>
    <col min="16130" max="16130" width="22.42578125" style="26" bestFit="1" customWidth="1"/>
    <col min="16131" max="16131" width="22.140625" style="26" customWidth="1"/>
    <col min="16132" max="16132" width="17.85546875" style="26" customWidth="1"/>
    <col min="16133" max="16133" width="22.42578125" style="26" customWidth="1"/>
    <col min="16134" max="16134" width="10.140625" style="26" bestFit="1" customWidth="1"/>
    <col min="16135" max="16135" width="13.42578125" style="26" customWidth="1"/>
    <col min="16136" max="16136" width="7.42578125" style="26" bestFit="1" customWidth="1"/>
    <col min="16137" max="16137" width="15.42578125" style="26" bestFit="1" customWidth="1"/>
    <col min="16138" max="16138" width="7.42578125" style="26" bestFit="1" customWidth="1"/>
    <col min="16139" max="16139" width="19.5703125" style="26" bestFit="1" customWidth="1"/>
    <col min="16140" max="16140" width="7.42578125" style="26" bestFit="1" customWidth="1"/>
    <col min="16141" max="16141" width="26.85546875" style="26" bestFit="1" customWidth="1"/>
    <col min="16142" max="16142" width="19.85546875" style="26" bestFit="1" customWidth="1"/>
    <col min="16143" max="16384" width="11.42578125" style="26"/>
  </cols>
  <sheetData>
    <row r="3" spans="3:14" s="27" customFormat="1" ht="13.5" customHeight="1" x14ac:dyDescent="0.2">
      <c r="C3" s="148"/>
      <c r="D3" s="148"/>
      <c r="E3" s="148"/>
      <c r="F3" s="148"/>
      <c r="G3" s="148"/>
      <c r="H3" s="148"/>
      <c r="I3" s="148"/>
    </row>
    <row r="4" spans="3:14" s="27" customFormat="1" ht="15" x14ac:dyDescent="0.2">
      <c r="F4" s="349"/>
      <c r="H4" s="144"/>
      <c r="I4" s="148"/>
    </row>
    <row r="5" spans="3:14" s="27" customFormat="1" ht="15" x14ac:dyDescent="0.2">
      <c r="F5" s="349"/>
      <c r="H5" s="144"/>
      <c r="I5" s="148"/>
    </row>
    <row r="6" spans="3:14" s="27" customFormat="1" ht="15" x14ac:dyDescent="0.2">
      <c r="F6" s="349"/>
      <c r="H6" s="144"/>
      <c r="I6" s="148"/>
    </row>
    <row r="7" spans="3:14" s="27" customFormat="1" ht="13.5" customHeight="1" x14ac:dyDescent="0.2">
      <c r="I7" s="148"/>
    </row>
    <row r="8" spans="3:14" ht="15.75" x14ac:dyDescent="0.2">
      <c r="C8" s="1081" t="s">
        <v>729</v>
      </c>
      <c r="D8" s="1082"/>
      <c r="E8" s="1082"/>
      <c r="F8" s="1082"/>
      <c r="G8" s="1082"/>
      <c r="H8" s="1083"/>
      <c r="I8" s="148"/>
      <c r="J8" s="31"/>
    </row>
    <row r="9" spans="3:14" ht="16.5" x14ac:dyDescent="0.25">
      <c r="C9" s="28"/>
      <c r="D9" s="28"/>
      <c r="E9" s="28"/>
      <c r="F9" s="29"/>
      <c r="G9" s="29"/>
      <c r="H9" s="30"/>
      <c r="I9" s="148"/>
      <c r="J9" s="31"/>
    </row>
    <row r="10" spans="3:14" ht="9.75" customHeight="1" x14ac:dyDescent="0.25">
      <c r="C10" s="28"/>
      <c r="D10" s="28"/>
      <c r="E10" s="28"/>
      <c r="F10" s="1080" t="s">
        <v>87</v>
      </c>
      <c r="H10" s="1080" t="s">
        <v>92</v>
      </c>
      <c r="J10" s="31"/>
      <c r="N10" s="32"/>
    </row>
    <row r="11" spans="3:14" ht="9.75" customHeight="1" x14ac:dyDescent="0.25">
      <c r="C11" s="28"/>
      <c r="D11" s="28"/>
      <c r="E11" s="33"/>
      <c r="F11" s="1080"/>
      <c r="H11" s="1080"/>
      <c r="J11" s="34"/>
      <c r="N11" s="35"/>
    </row>
    <row r="12" spans="3:14" ht="16.5" x14ac:dyDescent="0.25">
      <c r="C12" s="28"/>
      <c r="D12" s="28"/>
      <c r="E12" s="36"/>
      <c r="F12" s="37"/>
      <c r="H12" s="37" t="s">
        <v>1448</v>
      </c>
      <c r="N12" s="35"/>
    </row>
    <row r="13" spans="3:14" ht="9.75" customHeight="1" x14ac:dyDescent="0.2">
      <c r="N13" s="35"/>
    </row>
    <row r="14" spans="3:14" s="38" customFormat="1" x14ac:dyDescent="0.2">
      <c r="C14" s="648" t="s">
        <v>741</v>
      </c>
      <c r="F14" s="39"/>
      <c r="H14" s="39"/>
    </row>
    <row r="15" spans="3:14" s="38" customFormat="1" x14ac:dyDescent="0.2">
      <c r="F15" s="39"/>
      <c r="H15" s="39"/>
    </row>
    <row r="16" spans="3:14" x14ac:dyDescent="0.2">
      <c r="C16" s="40"/>
      <c r="D16" s="41"/>
      <c r="E16" s="41"/>
      <c r="F16" s="103"/>
      <c r="G16" s="176"/>
      <c r="H16" s="103"/>
      <c r="I16" s="42"/>
      <c r="J16" s="41"/>
    </row>
    <row r="17" spans="3:12" x14ac:dyDescent="0.2">
      <c r="C17" s="44"/>
      <c r="D17" s="45"/>
      <c r="E17" s="46"/>
      <c r="F17" s="80"/>
      <c r="G17" s="176"/>
      <c r="H17" s="80"/>
      <c r="I17" s="48"/>
      <c r="J17" s="50"/>
    </row>
    <row r="18" spans="3:12" ht="15" x14ac:dyDescent="0.25">
      <c r="C18" s="44"/>
      <c r="D18" s="45"/>
      <c r="E18" s="46"/>
      <c r="F18" s="83"/>
      <c r="G18" s="177"/>
      <c r="H18" s="83"/>
      <c r="I18" s="48"/>
      <c r="J18" s="50"/>
    </row>
    <row r="19" spans="3:12" x14ac:dyDescent="0.2">
      <c r="F19" s="175"/>
      <c r="G19" s="175"/>
      <c r="H19" s="175"/>
      <c r="I19" s="51"/>
    </row>
    <row r="20" spans="3:12" s="52" customFormat="1" x14ac:dyDescent="0.2">
      <c r="C20" s="647" t="s">
        <v>742</v>
      </c>
      <c r="F20" s="70"/>
      <c r="G20" s="70"/>
      <c r="H20" s="70"/>
      <c r="I20" s="53"/>
    </row>
    <row r="21" spans="3:12" s="56" customFormat="1" ht="7.5" customHeight="1" x14ac:dyDescent="0.2">
      <c r="C21" s="55"/>
      <c r="F21" s="175"/>
      <c r="G21" s="175"/>
      <c r="H21" s="175"/>
      <c r="I21" s="57"/>
    </row>
    <row r="22" spans="3:12" s="62" customFormat="1" x14ac:dyDescent="0.2">
      <c r="C22" s="40"/>
      <c r="D22" s="58"/>
      <c r="E22" s="59"/>
      <c r="F22" s="677"/>
      <c r="G22" s="60"/>
      <c r="H22" s="677"/>
      <c r="I22" s="61"/>
    </row>
    <row r="23" spans="3:12" s="62" customFormat="1" x14ac:dyDescent="0.2">
      <c r="C23" s="161"/>
      <c r="D23" s="58"/>
      <c r="E23" s="59"/>
      <c r="F23" s="159"/>
      <c r="G23" s="60"/>
      <c r="H23" s="159"/>
      <c r="I23" s="61"/>
    </row>
    <row r="24" spans="3:12" s="62" customFormat="1" x14ac:dyDescent="0.2">
      <c r="C24" s="162"/>
      <c r="D24" s="58"/>
      <c r="E24" s="59"/>
      <c r="F24" s="159"/>
      <c r="G24" s="60"/>
      <c r="H24" s="159"/>
      <c r="I24" s="61"/>
    </row>
    <row r="25" spans="3:12" s="62" customFormat="1" x14ac:dyDescent="0.2">
      <c r="C25" s="163"/>
      <c r="D25" s="58"/>
      <c r="E25" s="59"/>
      <c r="F25" s="159"/>
      <c r="G25" s="60"/>
      <c r="H25" s="159"/>
      <c r="I25" s="61"/>
    </row>
    <row r="26" spans="3:12" s="62" customFormat="1" x14ac:dyDescent="0.2">
      <c r="C26" s="163"/>
      <c r="D26" s="58"/>
      <c r="E26" s="59"/>
      <c r="F26" s="159"/>
      <c r="G26" s="60"/>
      <c r="H26" s="159"/>
      <c r="I26" s="61"/>
    </row>
    <row r="27" spans="3:12" s="62" customFormat="1" x14ac:dyDescent="0.2">
      <c r="C27" s="164"/>
      <c r="D27" s="58"/>
      <c r="E27" s="59"/>
      <c r="F27" s="65"/>
      <c r="G27" s="60"/>
      <c r="H27" s="65"/>
      <c r="I27" s="61"/>
    </row>
    <row r="28" spans="3:12" s="56" customFormat="1" ht="15" x14ac:dyDescent="0.25">
      <c r="D28" s="66"/>
      <c r="E28" s="66"/>
      <c r="F28" s="67"/>
      <c r="G28" s="68"/>
      <c r="H28" s="67"/>
      <c r="I28" s="69"/>
      <c r="L28" s="62"/>
    </row>
    <row r="29" spans="3:12" s="52" customFormat="1" x14ac:dyDescent="0.2">
      <c r="C29" s="648" t="s">
        <v>743</v>
      </c>
      <c r="F29" s="70"/>
      <c r="G29" s="70"/>
      <c r="H29" s="70"/>
      <c r="I29" s="70"/>
      <c r="L29" s="62"/>
    </row>
    <row r="30" spans="3:12" s="56" customFormat="1" ht="15" x14ac:dyDescent="0.25">
      <c r="C30" s="72"/>
      <c r="F30" s="68"/>
      <c r="G30" s="68"/>
      <c r="H30" s="68"/>
      <c r="I30" s="69"/>
      <c r="L30" s="62"/>
    </row>
    <row r="31" spans="3:12" s="56" customFormat="1" x14ac:dyDescent="0.2">
      <c r="C31" s="102"/>
      <c r="F31" s="103"/>
      <c r="G31" s="176"/>
      <c r="H31" s="103"/>
      <c r="I31" s="61"/>
      <c r="L31" s="62"/>
    </row>
    <row r="32" spans="3:12" s="56" customFormat="1" x14ac:dyDescent="0.2">
      <c r="C32" s="44"/>
      <c r="D32" s="45"/>
      <c r="E32" s="46"/>
      <c r="F32" s="80"/>
      <c r="G32" s="176"/>
      <c r="H32" s="80"/>
      <c r="I32" s="61"/>
      <c r="L32" s="62"/>
    </row>
    <row r="33" spans="3:15" s="56" customFormat="1" ht="15" x14ac:dyDescent="0.25">
      <c r="C33" s="44"/>
      <c r="D33" s="45"/>
      <c r="E33" s="46"/>
      <c r="F33" s="83"/>
      <c r="G33" s="177"/>
      <c r="H33" s="83"/>
      <c r="I33" s="61"/>
      <c r="L33" s="62"/>
    </row>
    <row r="34" spans="3:15" s="56" customFormat="1" ht="15" x14ac:dyDescent="0.25">
      <c r="C34" s="75"/>
      <c r="D34" s="66"/>
      <c r="E34" s="66"/>
      <c r="F34" s="73"/>
      <c r="G34" s="73"/>
      <c r="H34" s="73"/>
      <c r="I34" s="61"/>
      <c r="L34" s="62"/>
    </row>
    <row r="35" spans="3:15" s="52" customFormat="1" x14ac:dyDescent="0.2">
      <c r="C35" s="648" t="s">
        <v>744</v>
      </c>
      <c r="F35" s="70"/>
      <c r="G35" s="76"/>
      <c r="H35" s="70"/>
      <c r="I35" s="70"/>
      <c r="J35" s="77"/>
      <c r="L35" s="62"/>
    </row>
    <row r="36" spans="3:15" s="56" customFormat="1" ht="15" x14ac:dyDescent="0.25">
      <c r="F36" s="67"/>
      <c r="G36" s="67"/>
      <c r="H36" s="67"/>
      <c r="I36" s="67"/>
      <c r="J36" s="78"/>
      <c r="L36" s="62"/>
    </row>
    <row r="37" spans="3:15" s="56" customFormat="1" x14ac:dyDescent="0.2">
      <c r="C37" s="102"/>
      <c r="F37" s="103"/>
      <c r="G37" s="176"/>
      <c r="H37" s="103"/>
      <c r="I37" s="81"/>
      <c r="J37" s="82"/>
      <c r="L37" s="62"/>
    </row>
    <row r="38" spans="3:15" s="56" customFormat="1" x14ac:dyDescent="0.2">
      <c r="C38" s="63"/>
      <c r="D38" s="79"/>
      <c r="F38" s="80"/>
      <c r="G38" s="176"/>
      <c r="H38" s="80"/>
      <c r="I38" s="81"/>
      <c r="J38" s="79"/>
      <c r="L38" s="62"/>
    </row>
    <row r="39" spans="3:15" s="56" customFormat="1" ht="15" x14ac:dyDescent="0.25">
      <c r="C39" s="64"/>
      <c r="F39" s="83"/>
      <c r="G39" s="177"/>
      <c r="H39" s="83"/>
      <c r="I39" s="26"/>
    </row>
    <row r="40" spans="3:15" s="56" customFormat="1" x14ac:dyDescent="0.2">
      <c r="C40" s="75"/>
      <c r="F40" s="177"/>
      <c r="G40" s="177"/>
      <c r="H40" s="177"/>
      <c r="K40" s="32"/>
      <c r="L40" s="85"/>
      <c r="M40" s="86"/>
    </row>
    <row r="41" spans="3:15" s="56" customFormat="1" x14ac:dyDescent="0.2">
      <c r="F41" s="177"/>
      <c r="G41" s="177"/>
      <c r="H41" s="177"/>
      <c r="K41" s="87"/>
      <c r="L41" s="88"/>
      <c r="M41" s="89"/>
      <c r="N41" s="90"/>
    </row>
    <row r="42" spans="3:15" s="56" customFormat="1" x14ac:dyDescent="0.2">
      <c r="C42" s="648" t="s">
        <v>745</v>
      </c>
      <c r="D42" s="52"/>
      <c r="E42" s="52"/>
      <c r="F42" s="70"/>
      <c r="G42" s="76"/>
      <c r="H42" s="70"/>
      <c r="K42" s="91"/>
      <c r="L42" s="92"/>
      <c r="M42" s="93"/>
      <c r="N42" s="94"/>
      <c r="O42" s="95"/>
    </row>
    <row r="43" spans="3:15" s="56" customFormat="1" ht="15" x14ac:dyDescent="0.25">
      <c r="F43" s="67"/>
      <c r="G43" s="67"/>
      <c r="H43" s="67"/>
      <c r="K43" s="91"/>
      <c r="L43" s="91"/>
      <c r="M43" s="94"/>
      <c r="N43" s="94"/>
      <c r="O43" s="95"/>
    </row>
    <row r="44" spans="3:15" s="56" customFormat="1" x14ac:dyDescent="0.2">
      <c r="C44" s="102"/>
      <c r="F44" s="103"/>
      <c r="G44" s="176"/>
      <c r="H44" s="103"/>
      <c r="K44" s="91"/>
      <c r="L44" s="96"/>
      <c r="M44" s="96"/>
      <c r="N44" s="93"/>
      <c r="O44" s="95"/>
    </row>
    <row r="45" spans="3:15" s="56" customFormat="1" x14ac:dyDescent="0.2">
      <c r="C45" s="63"/>
      <c r="D45" s="79"/>
      <c r="F45" s="80"/>
      <c r="G45" s="176"/>
      <c r="H45" s="80"/>
      <c r="K45" s="91"/>
      <c r="L45" s="96"/>
      <c r="M45" s="96"/>
      <c r="N45" s="93"/>
      <c r="O45" s="95"/>
    </row>
    <row r="46" spans="3:15" s="56" customFormat="1" ht="15" x14ac:dyDescent="0.25">
      <c r="C46" s="64"/>
      <c r="F46" s="83"/>
      <c r="G46" s="177"/>
      <c r="H46" s="83"/>
      <c r="K46" s="91"/>
      <c r="L46" s="96"/>
      <c r="M46" s="96"/>
      <c r="N46" s="93"/>
      <c r="O46" s="95"/>
    </row>
    <row r="47" spans="3:15" s="56" customFormat="1" x14ac:dyDescent="0.2">
      <c r="H47" s="26"/>
      <c r="I47" s="26"/>
      <c r="K47" s="91"/>
      <c r="L47" s="96"/>
      <c r="M47" s="96"/>
      <c r="N47" s="93"/>
      <c r="O47" s="95"/>
    </row>
    <row r="48" spans="3:15" s="56" customFormat="1" x14ac:dyDescent="0.2">
      <c r="H48" s="98"/>
      <c r="I48" s="98"/>
      <c r="J48" s="26"/>
      <c r="K48" s="91"/>
      <c r="L48" s="96"/>
      <c r="M48" s="96"/>
      <c r="N48" s="93"/>
      <c r="O48" s="95"/>
    </row>
    <row r="49" spans="8:15" x14ac:dyDescent="0.2">
      <c r="H49" s="99"/>
      <c r="I49" s="98"/>
      <c r="K49" s="91"/>
      <c r="L49" s="96"/>
      <c r="M49" s="96"/>
      <c r="N49" s="93"/>
      <c r="O49" s="100"/>
    </row>
    <row r="50" spans="8:15" x14ac:dyDescent="0.2">
      <c r="H50" s="99"/>
      <c r="I50" s="98"/>
      <c r="K50" s="91"/>
      <c r="L50" s="96"/>
      <c r="M50" s="96"/>
      <c r="N50" s="93"/>
      <c r="O50" s="100"/>
    </row>
    <row r="51" spans="8:15" x14ac:dyDescent="0.2">
      <c r="H51" s="99"/>
      <c r="K51" s="91"/>
      <c r="L51" s="96"/>
      <c r="M51" s="96"/>
      <c r="N51" s="93"/>
      <c r="O51" s="100"/>
    </row>
    <row r="52" spans="8:15" x14ac:dyDescent="0.2">
      <c r="H52" s="99"/>
      <c r="K52" s="91"/>
      <c r="L52" s="96"/>
      <c r="M52" s="96"/>
      <c r="N52" s="93"/>
      <c r="O52" s="100"/>
    </row>
    <row r="53" spans="8:15" x14ac:dyDescent="0.2">
      <c r="H53" s="99"/>
      <c r="K53" s="91"/>
      <c r="L53" s="96"/>
      <c r="M53" s="96"/>
      <c r="N53" s="93"/>
      <c r="O53" s="100"/>
    </row>
    <row r="54" spans="8:15" x14ac:dyDescent="0.2">
      <c r="H54" s="99"/>
      <c r="K54" s="91"/>
      <c r="L54" s="96"/>
      <c r="M54" s="96"/>
      <c r="N54" s="93"/>
      <c r="O54" s="100"/>
    </row>
    <row r="55" spans="8:15" x14ac:dyDescent="0.2">
      <c r="H55" s="99"/>
      <c r="K55" s="91"/>
      <c r="L55" s="96"/>
      <c r="M55" s="96"/>
      <c r="N55" s="93"/>
      <c r="O55" s="100"/>
    </row>
    <row r="56" spans="8:15" x14ac:dyDescent="0.2">
      <c r="K56" s="91"/>
      <c r="L56" s="96"/>
      <c r="M56" s="96"/>
      <c r="N56" s="93"/>
      <c r="O56" s="100"/>
    </row>
    <row r="57" spans="8:15" x14ac:dyDescent="0.2">
      <c r="K57" s="91"/>
      <c r="L57" s="96"/>
      <c r="M57" s="96"/>
      <c r="N57" s="93"/>
      <c r="O57" s="100"/>
    </row>
    <row r="58" spans="8:15" x14ac:dyDescent="0.2">
      <c r="K58" s="91"/>
      <c r="L58" s="96"/>
      <c r="M58" s="96"/>
      <c r="N58" s="93"/>
      <c r="O58" s="100"/>
    </row>
    <row r="59" spans="8:15" x14ac:dyDescent="0.2">
      <c r="K59" s="91"/>
      <c r="L59" s="96"/>
      <c r="M59" s="96"/>
      <c r="N59" s="93"/>
      <c r="O59" s="100"/>
    </row>
    <row r="60" spans="8:15" x14ac:dyDescent="0.2">
      <c r="K60" s="91"/>
      <c r="L60" s="96"/>
      <c r="M60" s="96"/>
      <c r="N60" s="93"/>
      <c r="O60" s="100"/>
    </row>
    <row r="61" spans="8:15" x14ac:dyDescent="0.2">
      <c r="K61" s="91"/>
      <c r="L61" s="96"/>
      <c r="M61" s="96"/>
      <c r="N61" s="93"/>
      <c r="O61" s="100"/>
    </row>
    <row r="62" spans="8:15" x14ac:dyDescent="0.2">
      <c r="K62" s="91"/>
      <c r="L62" s="96"/>
      <c r="M62" s="96"/>
      <c r="N62" s="93"/>
      <c r="O62" s="100"/>
    </row>
    <row r="63" spans="8:15" x14ac:dyDescent="0.2">
      <c r="K63" s="91"/>
      <c r="L63" s="96"/>
      <c r="M63" s="96"/>
      <c r="N63" s="93"/>
      <c r="O63" s="100"/>
    </row>
    <row r="64" spans="8:15" x14ac:dyDescent="0.2">
      <c r="K64" s="91"/>
      <c r="L64" s="96"/>
      <c r="M64" s="96"/>
      <c r="N64" s="93"/>
      <c r="O64" s="100"/>
    </row>
    <row r="65" spans="11:15" x14ac:dyDescent="0.2">
      <c r="K65" s="91"/>
      <c r="L65" s="96"/>
      <c r="M65" s="96"/>
      <c r="N65" s="93"/>
      <c r="O65" s="100"/>
    </row>
    <row r="66" spans="11:15" x14ac:dyDescent="0.2">
      <c r="K66" s="91"/>
      <c r="L66" s="96"/>
      <c r="M66" s="96"/>
      <c r="N66" s="93"/>
      <c r="O66" s="100"/>
    </row>
    <row r="67" spans="11:15" x14ac:dyDescent="0.2">
      <c r="K67" s="91"/>
      <c r="L67" s="96"/>
      <c r="M67" s="96"/>
      <c r="N67" s="93"/>
      <c r="O67" s="100"/>
    </row>
    <row r="68" spans="11:15" x14ac:dyDescent="0.2">
      <c r="K68" s="91"/>
      <c r="L68" s="96"/>
      <c r="M68" s="96"/>
      <c r="N68" s="93"/>
      <c r="O68" s="100"/>
    </row>
    <row r="69" spans="11:15" x14ac:dyDescent="0.2">
      <c r="K69" s="91"/>
      <c r="L69" s="96"/>
      <c r="M69" s="96"/>
      <c r="N69" s="93"/>
      <c r="O69" s="100"/>
    </row>
    <row r="70" spans="11:15" x14ac:dyDescent="0.2">
      <c r="K70" s="91"/>
      <c r="L70" s="96"/>
      <c r="M70" s="96"/>
      <c r="N70" s="93"/>
      <c r="O70" s="100"/>
    </row>
    <row r="71" spans="11:15" x14ac:dyDescent="0.2">
      <c r="K71" s="91"/>
      <c r="L71" s="96"/>
      <c r="M71" s="96"/>
      <c r="N71" s="93"/>
      <c r="O71" s="100"/>
    </row>
    <row r="72" spans="11:15" x14ac:dyDescent="0.2">
      <c r="K72" s="91"/>
      <c r="L72" s="96"/>
      <c r="M72" s="96"/>
      <c r="N72" s="93"/>
      <c r="O72" s="100"/>
    </row>
    <row r="73" spans="11:15" x14ac:dyDescent="0.2">
      <c r="K73" s="91"/>
      <c r="L73" s="96"/>
      <c r="M73" s="96"/>
      <c r="N73" s="93"/>
      <c r="O73" s="100"/>
    </row>
    <row r="74" spans="11:15" x14ac:dyDescent="0.2">
      <c r="K74" s="91"/>
      <c r="L74" s="96"/>
      <c r="M74" s="96"/>
      <c r="N74" s="93"/>
      <c r="O74" s="100"/>
    </row>
    <row r="75" spans="11:15" x14ac:dyDescent="0.2">
      <c r="K75" s="91"/>
      <c r="L75" s="96"/>
      <c r="M75" s="96"/>
      <c r="N75" s="93"/>
      <c r="O75" s="100"/>
    </row>
    <row r="76" spans="11:15" x14ac:dyDescent="0.2">
      <c r="K76" s="91"/>
      <c r="L76" s="96"/>
      <c r="M76" s="96"/>
      <c r="N76" s="93"/>
      <c r="O76" s="100"/>
    </row>
    <row r="77" spans="11:15" x14ac:dyDescent="0.2">
      <c r="K77" s="91"/>
      <c r="L77" s="96"/>
      <c r="M77" s="96"/>
      <c r="N77" s="93"/>
      <c r="O77" s="100"/>
    </row>
  </sheetData>
  <mergeCells count="3">
    <mergeCell ref="F10:F11"/>
    <mergeCell ref="H10:H11"/>
    <mergeCell ref="C8:H8"/>
  </mergeCells>
  <phoneticPr fontId="127" type="noConversion"/>
  <pageMargins left="0.70866141732283472" right="0.70866141732283472" top="0.74803149606299213" bottom="0.74803149606299213" header="0.31496062992125984" footer="0.31496062992125984"/>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E030-FBE9-49A7-B769-3DBFFF303B14}">
  <sheetPr>
    <tabColor theme="0" tint="-0.249977111117893"/>
  </sheetPr>
  <dimension ref="A1:AM68"/>
  <sheetViews>
    <sheetView showGridLines="0" zoomScale="80" zoomScaleNormal="80" workbookViewId="0">
      <selection activeCell="C24" sqref="C24:G24"/>
    </sheetView>
  </sheetViews>
  <sheetFormatPr defaultColWidth="9.140625" defaultRowHeight="15" x14ac:dyDescent="0.25"/>
  <cols>
    <col min="1" max="1" width="14.85546875" style="400" customWidth="1"/>
    <col min="2" max="2" width="23.140625" style="460" bestFit="1" customWidth="1"/>
    <col min="3" max="3" width="16.42578125" style="422" customWidth="1"/>
    <col min="4" max="4" width="14.5703125" style="422" customWidth="1"/>
    <col min="5" max="5" width="11.5703125" style="422" customWidth="1"/>
    <col min="6" max="6" width="13.85546875" style="422" customWidth="1"/>
    <col min="7" max="7" width="17.5703125" style="400" bestFit="1" customWidth="1"/>
    <col min="8" max="8" width="14.85546875" style="400" bestFit="1" customWidth="1"/>
    <col min="9" max="9" width="15.42578125" style="400" customWidth="1"/>
    <col min="10" max="10" width="16.42578125" style="400" customWidth="1"/>
    <col min="11" max="11" width="15.5703125" style="400" customWidth="1"/>
    <col min="12" max="16384" width="9.140625" style="400"/>
  </cols>
  <sheetData>
    <row r="1" spans="1:12" x14ac:dyDescent="0.25">
      <c r="A1" s="104"/>
      <c r="B1" s="104"/>
      <c r="C1" s="104"/>
      <c r="D1" s="104"/>
      <c r="E1" s="104"/>
      <c r="F1" s="104"/>
      <c r="G1" s="104"/>
      <c r="H1" s="104"/>
      <c r="I1" s="104"/>
      <c r="J1" s="104"/>
      <c r="K1" s="104"/>
      <c r="L1" s="104"/>
    </row>
    <row r="2" spans="1:12" x14ac:dyDescent="0.25">
      <c r="A2" s="104"/>
      <c r="B2" s="106"/>
      <c r="C2" s="106"/>
      <c r="D2" s="106"/>
      <c r="E2" s="106"/>
      <c r="F2" s="106"/>
      <c r="G2" s="106"/>
      <c r="H2" s="106"/>
      <c r="I2" s="106"/>
      <c r="J2" s="106"/>
      <c r="K2" s="106"/>
      <c r="L2" s="106"/>
    </row>
    <row r="3" spans="1:12" ht="14.45" customHeight="1" x14ac:dyDescent="0.25">
      <c r="A3" s="104"/>
      <c r="B3" s="106"/>
      <c r="C3" s="106"/>
      <c r="D3" s="106"/>
      <c r="E3" s="1105"/>
      <c r="F3" s="1105"/>
      <c r="G3" s="1105"/>
      <c r="H3" s="106"/>
      <c r="I3" s="349"/>
      <c r="J3" s="101" t="s">
        <v>655</v>
      </c>
      <c r="K3" s="101">
        <f>'00 - Cover'!F15</f>
        <v>45580</v>
      </c>
      <c r="L3" s="105"/>
    </row>
    <row r="4" spans="1:12" ht="14.45" customHeight="1" x14ac:dyDescent="0.25">
      <c r="A4" s="104"/>
      <c r="B4" s="106"/>
      <c r="C4" s="106"/>
      <c r="D4" s="106"/>
      <c r="E4" s="1105"/>
      <c r="F4" s="1105"/>
      <c r="G4" s="1105"/>
      <c r="H4" s="106"/>
      <c r="I4" s="349"/>
      <c r="J4" s="101" t="s">
        <v>94</v>
      </c>
      <c r="K4" s="101">
        <f>'00 - Cover'!F16</f>
        <v>45583</v>
      </c>
      <c r="L4" s="105"/>
    </row>
    <row r="5" spans="1:12" ht="14.45" customHeight="1" x14ac:dyDescent="0.25">
      <c r="A5" s="104"/>
      <c r="B5" s="106"/>
      <c r="C5" s="106"/>
      <c r="D5" s="106"/>
      <c r="E5" s="1105"/>
      <c r="F5" s="1105"/>
      <c r="G5" s="1105"/>
      <c r="H5" s="106"/>
      <c r="I5" s="349"/>
      <c r="J5" s="101" t="s">
        <v>87</v>
      </c>
      <c r="K5" s="101">
        <f>'00 - Cover'!F17</f>
        <v>45590</v>
      </c>
      <c r="L5" s="105"/>
    </row>
    <row r="6" spans="1:12" ht="14.45" customHeight="1" x14ac:dyDescent="0.25">
      <c r="A6" s="104"/>
      <c r="B6" s="106"/>
      <c r="C6" s="106"/>
      <c r="D6" s="106"/>
      <c r="E6" s="1105"/>
      <c r="F6" s="1105"/>
      <c r="G6" s="1105"/>
      <c r="H6" s="106"/>
      <c r="I6" s="106"/>
      <c r="J6" s="106"/>
      <c r="K6" s="106"/>
      <c r="L6" s="106"/>
    </row>
    <row r="7" spans="1:12" x14ac:dyDescent="0.25">
      <c r="A7" s="104"/>
      <c r="B7" s="106"/>
      <c r="C7" s="106"/>
      <c r="D7" s="106"/>
      <c r="E7" s="106"/>
      <c r="F7" s="106"/>
      <c r="G7" s="106"/>
      <c r="H7" s="106"/>
      <c r="I7" s="107"/>
      <c r="J7" s="107"/>
      <c r="K7" s="108"/>
      <c r="L7" s="106"/>
    </row>
    <row r="8" spans="1:12" x14ac:dyDescent="0.25">
      <c r="B8" s="400"/>
    </row>
    <row r="9" spans="1:12" ht="17.25" customHeight="1" x14ac:dyDescent="0.25">
      <c r="A9" s="581" t="s">
        <v>571</v>
      </c>
      <c r="B9" s="582"/>
      <c r="C9" s="583"/>
      <c r="D9" s="583"/>
      <c r="E9" s="583"/>
      <c r="F9" s="583"/>
      <c r="G9" s="583"/>
      <c r="H9" s="583"/>
      <c r="I9" s="583"/>
      <c r="J9" s="583"/>
      <c r="K9" s="583"/>
      <c r="L9" s="583"/>
    </row>
    <row r="10" spans="1:12" ht="11.1" customHeight="1" x14ac:dyDescent="0.25">
      <c r="B10" s="400"/>
    </row>
    <row r="11" spans="1:12" ht="4.5" customHeight="1" x14ac:dyDescent="0.25">
      <c r="B11" s="400"/>
      <c r="C11" s="400"/>
      <c r="D11" s="400"/>
      <c r="E11" s="400"/>
      <c r="F11" s="400"/>
    </row>
    <row r="12" spans="1:12" ht="3.75" customHeight="1" thickBot="1" x14ac:dyDescent="0.3">
      <c r="B12" s="423"/>
      <c r="C12" s="424"/>
      <c r="D12" s="424"/>
      <c r="E12" s="424"/>
      <c r="F12" s="424"/>
      <c r="G12" s="424"/>
    </row>
    <row r="13" spans="1:12" ht="39" customHeight="1" thickBot="1" x14ac:dyDescent="0.3">
      <c r="B13" s="423"/>
      <c r="C13" s="424"/>
      <c r="D13" s="424"/>
      <c r="E13" s="424"/>
      <c r="F13" s="424"/>
      <c r="G13" s="424"/>
      <c r="H13" s="425" t="s">
        <v>572</v>
      </c>
      <c r="I13" s="426" t="s">
        <v>573</v>
      </c>
      <c r="K13" s="422"/>
    </row>
    <row r="14" spans="1:12" ht="21.95" customHeight="1" thickBot="1" x14ac:dyDescent="0.3">
      <c r="B14" s="1087" t="s">
        <v>609</v>
      </c>
      <c r="C14" s="1088"/>
      <c r="D14" s="1088"/>
      <c r="E14" s="1088"/>
      <c r="F14" s="1088"/>
      <c r="G14" s="1089"/>
      <c r="H14" s="429">
        <v>751085014.36999917</v>
      </c>
      <c r="I14" s="430">
        <v>3847</v>
      </c>
      <c r="K14" s="422"/>
    </row>
    <row r="15" spans="1:12" ht="21.95" customHeight="1" thickBot="1" x14ac:dyDescent="0.3">
      <c r="B15" s="481" t="s">
        <v>610</v>
      </c>
      <c r="C15" s="482"/>
      <c r="D15" s="482"/>
      <c r="E15" s="482"/>
      <c r="F15" s="482"/>
      <c r="G15" s="483"/>
      <c r="H15" s="431">
        <f>SUM(J20:J23,J26:J30,J32:J36,J39:J40,)</f>
        <v>0</v>
      </c>
      <c r="I15" s="432">
        <f>SUM(K20:K23,K26:K30,K32:K36,K39:K40)</f>
        <v>0</v>
      </c>
      <c r="K15" s="422"/>
    </row>
    <row r="16" spans="1:12" ht="21.95" customHeight="1" thickBot="1" x14ac:dyDescent="0.3">
      <c r="B16" s="481" t="s">
        <v>611</v>
      </c>
      <c r="C16" s="482"/>
      <c r="D16" s="482"/>
      <c r="E16" s="482"/>
      <c r="F16" s="482"/>
      <c r="G16" s="483"/>
      <c r="H16" s="431">
        <f>H14-H15</f>
        <v>751085014.36999917</v>
      </c>
      <c r="I16" s="432">
        <f>I14-I15</f>
        <v>3847</v>
      </c>
      <c r="J16" s="433"/>
      <c r="K16" s="422"/>
    </row>
    <row r="17" spans="1:11" ht="21.95" customHeight="1" thickBot="1" x14ac:dyDescent="0.3">
      <c r="B17" s="434" t="s">
        <v>561</v>
      </c>
      <c r="C17" s="427"/>
      <c r="D17" s="427"/>
      <c r="E17" s="427"/>
      <c r="F17" s="427"/>
      <c r="G17" s="428"/>
      <c r="H17" s="435" t="str">
        <f>IF(H14-H15=H16,"OK","KO")</f>
        <v>OK</v>
      </c>
      <c r="I17" s="436" t="str">
        <f>IF(I14-I15=I16,"OK","KO")</f>
        <v>OK</v>
      </c>
      <c r="K17" s="422"/>
    </row>
    <row r="18" spans="1:11" ht="63" customHeight="1" thickBot="1" x14ac:dyDescent="0.3">
      <c r="B18" s="1090" t="s">
        <v>574</v>
      </c>
      <c r="C18" s="1091"/>
      <c r="D18" s="1091"/>
      <c r="E18" s="1091"/>
      <c r="F18" s="1091"/>
      <c r="G18" s="1092"/>
      <c r="H18" s="437" t="s">
        <v>605</v>
      </c>
      <c r="I18" s="438" t="s">
        <v>606</v>
      </c>
      <c r="J18" s="437" t="s">
        <v>607</v>
      </c>
      <c r="K18" s="438" t="s">
        <v>608</v>
      </c>
    </row>
    <row r="19" spans="1:11" ht="58.5" customHeight="1" x14ac:dyDescent="0.25">
      <c r="A19" s="439"/>
      <c r="B19" s="440" t="s">
        <v>563</v>
      </c>
      <c r="C19" s="1106" t="s">
        <v>575</v>
      </c>
      <c r="D19" s="1107"/>
      <c r="E19" s="1107"/>
      <c r="F19" s="1107"/>
      <c r="G19" s="1108"/>
      <c r="H19" s="441"/>
      <c r="I19" s="442"/>
      <c r="J19" s="441"/>
      <c r="K19" s="442"/>
    </row>
    <row r="20" spans="1:11" ht="48" customHeight="1" x14ac:dyDescent="0.25">
      <c r="A20" s="439"/>
      <c r="B20" s="443" t="s">
        <v>564</v>
      </c>
      <c r="C20" s="1109" t="s">
        <v>576</v>
      </c>
      <c r="D20" s="1110"/>
      <c r="E20" s="1110"/>
      <c r="F20" s="1110"/>
      <c r="G20" s="1111"/>
      <c r="H20" s="445">
        <f>H14-J20</f>
        <v>751085014.36999917</v>
      </c>
      <c r="I20" s="444">
        <f>I14-K20</f>
        <v>3847</v>
      </c>
      <c r="J20" s="445">
        <v>0</v>
      </c>
      <c r="K20" s="446">
        <v>0</v>
      </c>
    </row>
    <row r="21" spans="1:11" ht="48" customHeight="1" x14ac:dyDescent="0.25">
      <c r="A21" s="439"/>
      <c r="B21" s="443" t="s">
        <v>565</v>
      </c>
      <c r="C21" s="1084" t="s">
        <v>577</v>
      </c>
      <c r="D21" s="1085"/>
      <c r="E21" s="1085"/>
      <c r="F21" s="1085"/>
      <c r="G21" s="1086"/>
      <c r="H21" s="445">
        <f t="shared" ref="H21:I23" si="0">H20-J21</f>
        <v>751085014.36999917</v>
      </c>
      <c r="I21" s="446">
        <f t="shared" si="0"/>
        <v>3847</v>
      </c>
      <c r="J21" s="445">
        <v>0</v>
      </c>
      <c r="K21" s="446">
        <v>0</v>
      </c>
    </row>
    <row r="22" spans="1:11" ht="48" customHeight="1" x14ac:dyDescent="0.25">
      <c r="A22" s="439"/>
      <c r="B22" s="443" t="s">
        <v>566</v>
      </c>
      <c r="C22" s="1084" t="s">
        <v>578</v>
      </c>
      <c r="D22" s="1085"/>
      <c r="E22" s="1085"/>
      <c r="F22" s="1085"/>
      <c r="G22" s="1086"/>
      <c r="H22" s="445">
        <f t="shared" si="0"/>
        <v>751085014.36999917</v>
      </c>
      <c r="I22" s="446">
        <f t="shared" si="0"/>
        <v>3847</v>
      </c>
      <c r="J22" s="445">
        <v>0</v>
      </c>
      <c r="K22" s="446">
        <v>0</v>
      </c>
    </row>
    <row r="23" spans="1:11" ht="48" customHeight="1" x14ac:dyDescent="0.25">
      <c r="A23" s="439"/>
      <c r="B23" s="443" t="s">
        <v>567</v>
      </c>
      <c r="C23" s="1084" t="s">
        <v>579</v>
      </c>
      <c r="D23" s="1085"/>
      <c r="E23" s="1085"/>
      <c r="F23" s="1085"/>
      <c r="G23" s="1086"/>
      <c r="H23" s="445">
        <f t="shared" si="0"/>
        <v>751085014.36999917</v>
      </c>
      <c r="I23" s="446">
        <f t="shared" si="0"/>
        <v>3847</v>
      </c>
      <c r="J23" s="445">
        <v>0</v>
      </c>
      <c r="K23" s="446">
        <v>0</v>
      </c>
    </row>
    <row r="24" spans="1:11" ht="48" customHeight="1" x14ac:dyDescent="0.25">
      <c r="A24" s="439"/>
      <c r="B24" s="443" t="s">
        <v>568</v>
      </c>
      <c r="C24" s="1084" t="s">
        <v>580</v>
      </c>
      <c r="D24" s="1085"/>
      <c r="E24" s="1085"/>
      <c r="F24" s="1085"/>
      <c r="G24" s="1086"/>
      <c r="H24" s="447"/>
      <c r="I24" s="448"/>
      <c r="J24" s="447"/>
      <c r="K24" s="448"/>
    </row>
    <row r="25" spans="1:11" ht="48" customHeight="1" x14ac:dyDescent="0.25">
      <c r="A25" s="439"/>
      <c r="B25" s="443" t="s">
        <v>581</v>
      </c>
      <c r="C25" s="1084" t="s">
        <v>582</v>
      </c>
      <c r="D25" s="1085"/>
      <c r="E25" s="1085"/>
      <c r="F25" s="1085"/>
      <c r="G25" s="1086"/>
      <c r="H25" s="447"/>
      <c r="I25" s="448"/>
      <c r="J25" s="447"/>
      <c r="K25" s="448"/>
    </row>
    <row r="26" spans="1:11" ht="48" customHeight="1" x14ac:dyDescent="0.25">
      <c r="A26" s="439"/>
      <c r="B26" s="443" t="s">
        <v>583</v>
      </c>
      <c r="C26" s="1084" t="s">
        <v>584</v>
      </c>
      <c r="D26" s="1085"/>
      <c r="E26" s="1085"/>
      <c r="F26" s="1085"/>
      <c r="G26" s="1086"/>
      <c r="H26" s="445">
        <f>H23-J26</f>
        <v>751085014.36999917</v>
      </c>
      <c r="I26" s="446">
        <f>I23-K26</f>
        <v>3847</v>
      </c>
      <c r="J26" s="445">
        <v>0</v>
      </c>
      <c r="K26" s="446">
        <v>0</v>
      </c>
    </row>
    <row r="27" spans="1:11" ht="48" customHeight="1" x14ac:dyDescent="0.25">
      <c r="A27" s="439"/>
      <c r="B27" s="443" t="s">
        <v>562</v>
      </c>
      <c r="C27" s="1084" t="s">
        <v>585</v>
      </c>
      <c r="D27" s="1085"/>
      <c r="E27" s="1085"/>
      <c r="F27" s="1085"/>
      <c r="G27" s="1086"/>
      <c r="H27" s="445">
        <f t="shared" ref="H27:H30" si="1">H26-J27</f>
        <v>751085014.36999917</v>
      </c>
      <c r="I27" s="446">
        <f t="shared" ref="I27:I30" si="2">I26-K27</f>
        <v>3847</v>
      </c>
      <c r="J27" s="445">
        <v>0</v>
      </c>
      <c r="K27" s="446">
        <v>0</v>
      </c>
    </row>
    <row r="28" spans="1:11" ht="48" customHeight="1" x14ac:dyDescent="0.25">
      <c r="A28" s="439"/>
      <c r="B28" s="443" t="s">
        <v>586</v>
      </c>
      <c r="C28" s="1084" t="s">
        <v>832</v>
      </c>
      <c r="D28" s="1085"/>
      <c r="E28" s="1085"/>
      <c r="F28" s="1085"/>
      <c r="G28" s="1086"/>
      <c r="H28" s="445">
        <f t="shared" si="1"/>
        <v>751085014.36999917</v>
      </c>
      <c r="I28" s="446">
        <f t="shared" si="2"/>
        <v>3847</v>
      </c>
      <c r="J28" s="445">
        <v>0</v>
      </c>
      <c r="K28" s="446">
        <v>0</v>
      </c>
    </row>
    <row r="29" spans="1:11" ht="48" customHeight="1" x14ac:dyDescent="0.25">
      <c r="A29" s="439"/>
      <c r="B29" s="443" t="s">
        <v>587</v>
      </c>
      <c r="C29" s="1084" t="s">
        <v>588</v>
      </c>
      <c r="D29" s="1085"/>
      <c r="E29" s="1085"/>
      <c r="F29" s="1085"/>
      <c r="G29" s="1086"/>
      <c r="H29" s="445">
        <f t="shared" si="1"/>
        <v>751085014.36999917</v>
      </c>
      <c r="I29" s="446">
        <f t="shared" si="2"/>
        <v>3847</v>
      </c>
      <c r="J29" s="445">
        <v>0</v>
      </c>
      <c r="K29" s="446">
        <v>0</v>
      </c>
    </row>
    <row r="30" spans="1:11" ht="48" customHeight="1" x14ac:dyDescent="0.25">
      <c r="A30" s="439"/>
      <c r="B30" s="443" t="s">
        <v>589</v>
      </c>
      <c r="C30" s="1084" t="s">
        <v>590</v>
      </c>
      <c r="D30" s="1085"/>
      <c r="E30" s="1085"/>
      <c r="F30" s="1085"/>
      <c r="G30" s="1086"/>
      <c r="H30" s="445">
        <f t="shared" si="1"/>
        <v>751085014.36999917</v>
      </c>
      <c r="I30" s="446">
        <f t="shared" si="2"/>
        <v>3847</v>
      </c>
      <c r="J30" s="445">
        <v>0</v>
      </c>
      <c r="K30" s="446">
        <v>0</v>
      </c>
    </row>
    <row r="31" spans="1:11" ht="48" customHeight="1" x14ac:dyDescent="0.25">
      <c r="A31" s="439"/>
      <c r="B31" s="443" t="s">
        <v>591</v>
      </c>
      <c r="C31" s="1084" t="s">
        <v>592</v>
      </c>
      <c r="D31" s="1085"/>
      <c r="E31" s="1085"/>
      <c r="F31" s="1085"/>
      <c r="G31" s="1086"/>
      <c r="H31" s="447"/>
      <c r="I31" s="448"/>
      <c r="J31" s="447"/>
      <c r="K31" s="448"/>
    </row>
    <row r="32" spans="1:11" ht="48" customHeight="1" x14ac:dyDescent="0.25">
      <c r="A32" s="439"/>
      <c r="B32" s="443" t="s">
        <v>593</v>
      </c>
      <c r="C32" s="1084" t="s">
        <v>594</v>
      </c>
      <c r="D32" s="1085"/>
      <c r="E32" s="1085"/>
      <c r="F32" s="1085"/>
      <c r="G32" s="1086"/>
      <c r="H32" s="445">
        <f>H30-J32</f>
        <v>751085014.36999917</v>
      </c>
      <c r="I32" s="446">
        <f>I30-K32</f>
        <v>3847</v>
      </c>
      <c r="J32" s="445">
        <v>0</v>
      </c>
      <c r="K32" s="446">
        <v>0</v>
      </c>
    </row>
    <row r="33" spans="1:11" ht="48" customHeight="1" x14ac:dyDescent="0.25">
      <c r="A33" s="439"/>
      <c r="B33" s="443" t="s">
        <v>595</v>
      </c>
      <c r="C33" s="1084" t="s">
        <v>596</v>
      </c>
      <c r="D33" s="1085"/>
      <c r="E33" s="1085"/>
      <c r="F33" s="1085"/>
      <c r="G33" s="1086"/>
      <c r="H33" s="445">
        <f>H32-J33</f>
        <v>751085014.36999917</v>
      </c>
      <c r="I33" s="446">
        <f>I32-K33</f>
        <v>3847</v>
      </c>
      <c r="J33" s="445">
        <v>0</v>
      </c>
      <c r="K33" s="446">
        <v>0</v>
      </c>
    </row>
    <row r="34" spans="1:11" ht="48" customHeight="1" x14ac:dyDescent="0.25">
      <c r="A34" s="439"/>
      <c r="B34" s="443" t="s">
        <v>597</v>
      </c>
      <c r="C34" s="1084" t="s">
        <v>598</v>
      </c>
      <c r="D34" s="1085"/>
      <c r="E34" s="1085"/>
      <c r="F34" s="1085"/>
      <c r="G34" s="1086"/>
      <c r="H34" s="445">
        <f t="shared" ref="H34:H36" si="3">H33-J34</f>
        <v>751085014.36999917</v>
      </c>
      <c r="I34" s="446">
        <f t="shared" ref="I34:I36" si="4">I33-K34</f>
        <v>3847</v>
      </c>
      <c r="J34" s="445">
        <v>0</v>
      </c>
      <c r="K34" s="446">
        <v>0</v>
      </c>
    </row>
    <row r="35" spans="1:11" ht="48" customHeight="1" x14ac:dyDescent="0.25">
      <c r="A35" s="439"/>
      <c r="B35" s="443" t="s">
        <v>599</v>
      </c>
      <c r="C35" s="1084" t="s">
        <v>600</v>
      </c>
      <c r="D35" s="1085"/>
      <c r="E35" s="1085"/>
      <c r="F35" s="1085"/>
      <c r="G35" s="1086"/>
      <c r="H35" s="445">
        <f t="shared" si="3"/>
        <v>751085014.36999917</v>
      </c>
      <c r="I35" s="446">
        <f t="shared" si="4"/>
        <v>3847</v>
      </c>
      <c r="J35" s="445">
        <v>0</v>
      </c>
      <c r="K35" s="446">
        <v>0</v>
      </c>
    </row>
    <row r="36" spans="1:11" ht="48" customHeight="1" x14ac:dyDescent="0.25">
      <c r="A36" s="439"/>
      <c r="B36" s="443" t="s">
        <v>601</v>
      </c>
      <c r="C36" s="1093" t="s">
        <v>602</v>
      </c>
      <c r="D36" s="1094"/>
      <c r="E36" s="1094"/>
      <c r="F36" s="1094"/>
      <c r="G36" s="1095"/>
      <c r="H36" s="445">
        <f t="shared" si="3"/>
        <v>751085014.36999917</v>
      </c>
      <c r="I36" s="446">
        <f t="shared" si="4"/>
        <v>3847</v>
      </c>
      <c r="J36" s="445">
        <v>0</v>
      </c>
      <c r="K36" s="446">
        <v>0</v>
      </c>
    </row>
    <row r="37" spans="1:11" ht="48" customHeight="1" thickBot="1" x14ac:dyDescent="0.3">
      <c r="A37" s="439"/>
      <c r="B37" s="443" t="s">
        <v>603</v>
      </c>
      <c r="C37" s="1096" t="s">
        <v>604</v>
      </c>
      <c r="D37" s="1097"/>
      <c r="E37" s="1097"/>
      <c r="F37" s="1097"/>
      <c r="G37" s="1098"/>
      <c r="H37" s="450"/>
      <c r="I37" s="451"/>
      <c r="J37" s="450"/>
      <c r="K37" s="452"/>
    </row>
    <row r="38" spans="1:11" ht="32.1" customHeight="1" thickBot="1" x14ac:dyDescent="0.3">
      <c r="B38" s="1090" t="s">
        <v>612</v>
      </c>
      <c r="C38" s="1091"/>
      <c r="D38" s="1091"/>
      <c r="E38" s="1091"/>
      <c r="F38" s="1091"/>
      <c r="G38" s="1092"/>
      <c r="H38" s="453"/>
      <c r="I38" s="433"/>
    </row>
    <row r="39" spans="1:11" ht="37.5" customHeight="1" x14ac:dyDescent="0.25">
      <c r="B39" s="454" t="s">
        <v>563</v>
      </c>
      <c r="C39" s="1102" t="s">
        <v>613</v>
      </c>
      <c r="D39" s="1103"/>
      <c r="E39" s="1103"/>
      <c r="F39" s="1103"/>
      <c r="G39" s="1104"/>
      <c r="H39" s="429">
        <f>H36-J39</f>
        <v>751085014.36999917</v>
      </c>
      <c r="I39" s="430">
        <f>I36-K39</f>
        <v>3847</v>
      </c>
      <c r="J39" s="455">
        <v>0</v>
      </c>
      <c r="K39" s="456">
        <v>0</v>
      </c>
    </row>
    <row r="40" spans="1:11" ht="37.5" customHeight="1" x14ac:dyDescent="0.25">
      <c r="B40" s="458" t="s">
        <v>564</v>
      </c>
      <c r="C40" s="1099" t="s">
        <v>614</v>
      </c>
      <c r="D40" s="1100"/>
      <c r="E40" s="1100"/>
      <c r="F40" s="1100"/>
      <c r="G40" s="1101"/>
      <c r="H40" s="445">
        <f t="shared" ref="H40" si="5">H39-J40</f>
        <v>751085014.36999917</v>
      </c>
      <c r="I40" s="446">
        <f t="shared" ref="I40" si="6">I39-K40</f>
        <v>3847</v>
      </c>
      <c r="J40" s="461">
        <v>0</v>
      </c>
      <c r="K40" s="462">
        <v>0</v>
      </c>
    </row>
    <row r="41" spans="1:11" ht="37.5" customHeight="1" x14ac:dyDescent="0.25">
      <c r="B41" s="458" t="s">
        <v>565</v>
      </c>
      <c r="C41" s="1099" t="s">
        <v>615</v>
      </c>
      <c r="D41" s="1100"/>
      <c r="E41" s="1100"/>
      <c r="F41" s="1100"/>
      <c r="G41" s="1101"/>
      <c r="H41" s="447"/>
      <c r="I41" s="448"/>
      <c r="J41" s="447"/>
      <c r="K41" s="448"/>
    </row>
    <row r="42" spans="1:11" ht="37.5" customHeight="1" x14ac:dyDescent="0.25">
      <c r="B42" s="458" t="s">
        <v>566</v>
      </c>
      <c r="C42" s="1099" t="s">
        <v>616</v>
      </c>
      <c r="D42" s="1100"/>
      <c r="E42" s="1100"/>
      <c r="F42" s="1100"/>
      <c r="G42" s="1101"/>
      <c r="H42" s="447"/>
      <c r="I42" s="448"/>
      <c r="J42" s="447"/>
      <c r="K42" s="448"/>
    </row>
    <row r="43" spans="1:11" ht="37.5" customHeight="1" x14ac:dyDescent="0.25">
      <c r="B43" s="458" t="s">
        <v>567</v>
      </c>
      <c r="C43" s="1099" t="s">
        <v>617</v>
      </c>
      <c r="D43" s="1100"/>
      <c r="E43" s="1100"/>
      <c r="F43" s="1100"/>
      <c r="G43" s="1101"/>
      <c r="H43" s="447"/>
      <c r="I43" s="448"/>
      <c r="J43" s="447"/>
      <c r="K43" s="448"/>
    </row>
    <row r="44" spans="1:11" ht="37.5" customHeight="1" x14ac:dyDescent="0.25">
      <c r="B44" s="458" t="s">
        <v>568</v>
      </c>
      <c r="C44" s="1099" t="s">
        <v>618</v>
      </c>
      <c r="D44" s="1100"/>
      <c r="E44" s="1100"/>
      <c r="F44" s="1100"/>
      <c r="G44" s="1101"/>
      <c r="H44" s="447"/>
      <c r="I44" s="448"/>
      <c r="J44" s="447"/>
      <c r="K44" s="448"/>
    </row>
    <row r="45" spans="1:11" ht="37.5" customHeight="1" x14ac:dyDescent="0.25">
      <c r="B45" s="458" t="s">
        <v>581</v>
      </c>
      <c r="C45" s="1099" t="s">
        <v>619</v>
      </c>
      <c r="D45" s="1100"/>
      <c r="E45" s="1100"/>
      <c r="F45" s="1100"/>
      <c r="G45" s="1101"/>
      <c r="H45" s="447"/>
      <c r="I45" s="448"/>
      <c r="J45" s="447"/>
      <c r="K45" s="448"/>
    </row>
    <row r="46" spans="1:11" ht="37.5" customHeight="1" x14ac:dyDescent="0.25">
      <c r="B46" s="458" t="s">
        <v>583</v>
      </c>
      <c r="C46" s="1099" t="s">
        <v>620</v>
      </c>
      <c r="D46" s="1100"/>
      <c r="E46" s="1100"/>
      <c r="F46" s="1100"/>
      <c r="G46" s="1101"/>
      <c r="H46" s="447"/>
      <c r="I46" s="448"/>
      <c r="J46" s="447"/>
      <c r="K46" s="448"/>
    </row>
    <row r="47" spans="1:11" ht="37.5" customHeight="1" x14ac:dyDescent="0.25">
      <c r="B47" s="458" t="s">
        <v>562</v>
      </c>
      <c r="C47" s="1099" t="s">
        <v>621</v>
      </c>
      <c r="D47" s="1100"/>
      <c r="E47" s="1100"/>
      <c r="F47" s="1100"/>
      <c r="G47" s="1101"/>
      <c r="H47" s="447"/>
      <c r="I47" s="448"/>
      <c r="J47" s="447"/>
      <c r="K47" s="448"/>
    </row>
    <row r="48" spans="1:11" ht="37.5" customHeight="1" x14ac:dyDescent="0.25">
      <c r="B48" s="458" t="s">
        <v>586</v>
      </c>
      <c r="C48" s="1099" t="s">
        <v>622</v>
      </c>
      <c r="D48" s="1100"/>
      <c r="E48" s="1100"/>
      <c r="F48" s="1100"/>
      <c r="G48" s="1101"/>
      <c r="H48" s="447"/>
      <c r="I48" s="448"/>
      <c r="J48" s="447"/>
      <c r="K48" s="448"/>
    </row>
    <row r="49" spans="2:11" ht="37.5" customHeight="1" x14ac:dyDescent="0.25">
      <c r="B49" s="458" t="s">
        <v>587</v>
      </c>
      <c r="C49" s="1099" t="s">
        <v>623</v>
      </c>
      <c r="D49" s="1100"/>
      <c r="E49" s="1100"/>
      <c r="F49" s="1100"/>
      <c r="G49" s="1101"/>
      <c r="H49" s="447"/>
      <c r="I49" s="448"/>
      <c r="J49" s="447"/>
      <c r="K49" s="448"/>
    </row>
    <row r="50" spans="2:11" ht="37.5" customHeight="1" x14ac:dyDescent="0.25">
      <c r="B50" s="458" t="s">
        <v>589</v>
      </c>
      <c r="C50" s="1099" t="s">
        <v>624</v>
      </c>
      <c r="D50" s="1100"/>
      <c r="E50" s="1100"/>
      <c r="F50" s="1100"/>
      <c r="G50" s="1101"/>
      <c r="H50" s="447"/>
      <c r="I50" s="448"/>
      <c r="J50" s="447"/>
      <c r="K50" s="448"/>
    </row>
    <row r="51" spans="2:11" ht="37.5" customHeight="1" x14ac:dyDescent="0.25">
      <c r="B51" s="458" t="s">
        <v>591</v>
      </c>
      <c r="C51" s="1099" t="s">
        <v>625</v>
      </c>
      <c r="D51" s="1100"/>
      <c r="E51" s="1100"/>
      <c r="F51" s="1100"/>
      <c r="G51" s="1101"/>
      <c r="H51" s="447"/>
      <c r="I51" s="448"/>
      <c r="J51" s="447"/>
      <c r="K51" s="448"/>
    </row>
    <row r="52" spans="2:11" ht="37.5" customHeight="1" x14ac:dyDescent="0.25">
      <c r="B52" s="458" t="s">
        <v>593</v>
      </c>
      <c r="C52" s="1099" t="s">
        <v>626</v>
      </c>
      <c r="D52" s="1100"/>
      <c r="E52" s="1100"/>
      <c r="F52" s="1100"/>
      <c r="G52" s="1101"/>
      <c r="H52" s="447"/>
      <c r="I52" s="448"/>
      <c r="J52" s="447"/>
      <c r="K52" s="448"/>
    </row>
    <row r="53" spans="2:11" ht="37.5" customHeight="1" x14ac:dyDescent="0.25">
      <c r="B53" s="458" t="s">
        <v>595</v>
      </c>
      <c r="C53" s="1099" t="s">
        <v>627</v>
      </c>
      <c r="D53" s="1100"/>
      <c r="E53" s="1100"/>
      <c r="F53" s="1100"/>
      <c r="G53" s="1101"/>
      <c r="H53" s="447"/>
      <c r="I53" s="448"/>
      <c r="J53" s="447"/>
      <c r="K53" s="448"/>
    </row>
    <row r="54" spans="2:11" ht="37.5" customHeight="1" x14ac:dyDescent="0.25">
      <c r="B54" s="458" t="s">
        <v>597</v>
      </c>
      <c r="C54" s="1099" t="s">
        <v>628</v>
      </c>
      <c r="D54" s="1100"/>
      <c r="E54" s="1100"/>
      <c r="F54" s="1100"/>
      <c r="G54" s="1101"/>
      <c r="H54" s="447"/>
      <c r="I54" s="448"/>
      <c r="J54" s="447"/>
      <c r="K54" s="448"/>
    </row>
    <row r="55" spans="2:11" ht="37.5" customHeight="1" x14ac:dyDescent="0.25">
      <c r="B55" s="458" t="s">
        <v>629</v>
      </c>
      <c r="C55" s="1099" t="s">
        <v>630</v>
      </c>
      <c r="D55" s="1100"/>
      <c r="E55" s="1100"/>
      <c r="F55" s="1100"/>
      <c r="G55" s="1101"/>
      <c r="H55" s="447"/>
      <c r="I55" s="448"/>
      <c r="J55" s="447"/>
      <c r="K55" s="448"/>
    </row>
    <row r="56" spans="2:11" ht="37.5" customHeight="1" x14ac:dyDescent="0.25">
      <c r="B56" s="458" t="s">
        <v>601</v>
      </c>
      <c r="C56" s="1099" t="s">
        <v>631</v>
      </c>
      <c r="D56" s="1100"/>
      <c r="E56" s="1100"/>
      <c r="F56" s="1100"/>
      <c r="G56" s="1101"/>
      <c r="H56" s="447"/>
      <c r="I56" s="448"/>
      <c r="J56" s="447"/>
      <c r="K56" s="448"/>
    </row>
    <row r="57" spans="2:11" ht="37.5" customHeight="1" x14ac:dyDescent="0.25">
      <c r="B57" s="458" t="s">
        <v>603</v>
      </c>
      <c r="C57" s="1099" t="s">
        <v>632</v>
      </c>
      <c r="D57" s="1100"/>
      <c r="E57" s="1100"/>
      <c r="F57" s="1100"/>
      <c r="G57" s="1101"/>
      <c r="H57" s="447"/>
      <c r="I57" s="448"/>
      <c r="J57" s="447"/>
      <c r="K57" s="448"/>
    </row>
    <row r="58" spans="2:11" ht="37.5" customHeight="1" x14ac:dyDescent="0.25">
      <c r="B58" s="458" t="s">
        <v>633</v>
      </c>
      <c r="C58" s="1099" t="s">
        <v>634</v>
      </c>
      <c r="D58" s="1100"/>
      <c r="E58" s="1100"/>
      <c r="F58" s="1100"/>
      <c r="G58" s="1101"/>
      <c r="H58" s="447"/>
      <c r="I58" s="448"/>
      <c r="J58" s="447"/>
      <c r="K58" s="448"/>
    </row>
    <row r="59" spans="2:11" ht="37.5" customHeight="1" x14ac:dyDescent="0.25">
      <c r="B59" s="458" t="s">
        <v>635</v>
      </c>
      <c r="C59" s="1099" t="s">
        <v>636</v>
      </c>
      <c r="D59" s="1100"/>
      <c r="E59" s="1100"/>
      <c r="F59" s="1100"/>
      <c r="G59" s="1101"/>
      <c r="H59" s="447"/>
      <c r="I59" s="448"/>
      <c r="J59" s="447"/>
      <c r="K59" s="448"/>
    </row>
    <row r="60" spans="2:11" ht="37.5" customHeight="1" x14ac:dyDescent="0.25">
      <c r="B60" s="458" t="s">
        <v>637</v>
      </c>
      <c r="C60" s="1099" t="s">
        <v>638</v>
      </c>
      <c r="D60" s="1100"/>
      <c r="E60" s="1100"/>
      <c r="F60" s="1100"/>
      <c r="G60" s="1101"/>
      <c r="H60" s="447"/>
      <c r="I60" s="448"/>
      <c r="J60" s="447"/>
      <c r="K60" s="448"/>
    </row>
    <row r="61" spans="2:11" ht="37.5" customHeight="1" x14ac:dyDescent="0.25">
      <c r="B61" s="458" t="s">
        <v>639</v>
      </c>
      <c r="C61" s="1099" t="s">
        <v>640</v>
      </c>
      <c r="D61" s="1100"/>
      <c r="E61" s="1100"/>
      <c r="F61" s="1100"/>
      <c r="G61" s="1101"/>
      <c r="H61" s="447"/>
      <c r="I61" s="448"/>
      <c r="J61" s="447"/>
      <c r="K61" s="448"/>
    </row>
    <row r="62" spans="2:11" ht="37.5" customHeight="1" x14ac:dyDescent="0.25">
      <c r="B62" s="457" t="s">
        <v>641</v>
      </c>
      <c r="C62" s="1099" t="s">
        <v>642</v>
      </c>
      <c r="D62" s="1100"/>
      <c r="E62" s="1100"/>
      <c r="F62" s="1100"/>
      <c r="G62" s="1101"/>
      <c r="H62" s="447"/>
      <c r="I62" s="448"/>
      <c r="J62" s="447"/>
      <c r="K62" s="448"/>
    </row>
    <row r="63" spans="2:11" ht="37.5" customHeight="1" x14ac:dyDescent="0.25">
      <c r="B63" s="457" t="s">
        <v>643</v>
      </c>
      <c r="C63" s="1099" t="s">
        <v>644</v>
      </c>
      <c r="D63" s="1100"/>
      <c r="E63" s="1100"/>
      <c r="F63" s="1100"/>
      <c r="G63" s="1101"/>
      <c r="H63" s="447"/>
      <c r="I63" s="448"/>
      <c r="J63" s="447"/>
      <c r="K63" s="448"/>
    </row>
    <row r="64" spans="2:11" ht="37.5" customHeight="1" x14ac:dyDescent="0.25">
      <c r="B64" s="457" t="s">
        <v>645</v>
      </c>
      <c r="C64" s="1099" t="s">
        <v>646</v>
      </c>
      <c r="D64" s="1100"/>
      <c r="E64" s="1100"/>
      <c r="F64" s="1100"/>
      <c r="G64" s="1101"/>
      <c r="H64" s="447"/>
      <c r="I64" s="449"/>
      <c r="J64" s="447"/>
      <c r="K64" s="448"/>
    </row>
    <row r="65" spans="2:39" ht="37.5" customHeight="1" x14ac:dyDescent="0.25">
      <c r="B65" s="457" t="s">
        <v>647</v>
      </c>
      <c r="C65" s="1099" t="s">
        <v>648</v>
      </c>
      <c r="D65" s="1100"/>
      <c r="E65" s="1100"/>
      <c r="F65" s="1100"/>
      <c r="G65" s="1101"/>
      <c r="H65" s="447"/>
      <c r="I65" s="449"/>
      <c r="J65" s="447"/>
      <c r="K65" s="448"/>
    </row>
    <row r="66" spans="2:39" ht="37.5" customHeight="1" thickBot="1" x14ac:dyDescent="0.3">
      <c r="B66" s="463" t="s">
        <v>649</v>
      </c>
      <c r="C66" s="1096" t="s">
        <v>650</v>
      </c>
      <c r="D66" s="1097"/>
      <c r="E66" s="1097"/>
      <c r="F66" s="1097"/>
      <c r="G66" s="1098"/>
      <c r="H66" s="450"/>
      <c r="I66" s="451"/>
      <c r="J66" s="450"/>
      <c r="K66" s="452"/>
    </row>
    <row r="67" spans="2:39" x14ac:dyDescent="0.25">
      <c r="B67" s="400"/>
      <c r="G67" s="422"/>
      <c r="H67" s="422"/>
      <c r="I67" s="422"/>
      <c r="J67" s="422"/>
      <c r="K67" s="422"/>
      <c r="L67" s="422"/>
      <c r="M67" s="422"/>
      <c r="N67" s="422"/>
      <c r="O67" s="422"/>
      <c r="P67" s="422"/>
      <c r="Q67" s="422"/>
      <c r="R67" s="422"/>
      <c r="S67" s="422"/>
      <c r="T67" s="422"/>
      <c r="U67" s="422"/>
      <c r="V67" s="422"/>
      <c r="W67" s="422"/>
      <c r="X67" s="422"/>
      <c r="Y67" s="422"/>
      <c r="Z67" s="422"/>
      <c r="AA67" s="422"/>
      <c r="AB67" s="422"/>
      <c r="AC67" s="422"/>
      <c r="AD67" s="422"/>
      <c r="AE67" s="422"/>
      <c r="AF67" s="422"/>
      <c r="AG67" s="422"/>
      <c r="AH67" s="422"/>
      <c r="AI67" s="422"/>
      <c r="AJ67" s="422"/>
      <c r="AK67" s="422"/>
      <c r="AL67" s="422"/>
      <c r="AM67" s="422"/>
    </row>
    <row r="68" spans="2:39" x14ac:dyDescent="0.25">
      <c r="B68" s="400"/>
      <c r="G68" s="422"/>
      <c r="J68" s="459" t="s">
        <v>569</v>
      </c>
      <c r="K68" s="459"/>
      <c r="L68" s="459" t="s">
        <v>570</v>
      </c>
    </row>
  </sheetData>
  <mergeCells count="51">
    <mergeCell ref="C60:G60"/>
    <mergeCell ref="C61:G61"/>
    <mergeCell ref="C62:G62"/>
    <mergeCell ref="C51:G51"/>
    <mergeCell ref="C52:G52"/>
    <mergeCell ref="C53:G53"/>
    <mergeCell ref="E3:G6"/>
    <mergeCell ref="C19:G19"/>
    <mergeCell ref="C20:G20"/>
    <mergeCell ref="C21:G21"/>
    <mergeCell ref="C22:G22"/>
    <mergeCell ref="C64:G64"/>
    <mergeCell ref="C65:G65"/>
    <mergeCell ref="C66:G66"/>
    <mergeCell ref="C50:G50"/>
    <mergeCell ref="C45:G45"/>
    <mergeCell ref="C54:G54"/>
    <mergeCell ref="C55:G55"/>
    <mergeCell ref="C56:G56"/>
    <mergeCell ref="C46:G46"/>
    <mergeCell ref="C47:G47"/>
    <mergeCell ref="C48:G48"/>
    <mergeCell ref="C49:G49"/>
    <mergeCell ref="C63:G63"/>
    <mergeCell ref="C57:G57"/>
    <mergeCell ref="C58:G58"/>
    <mergeCell ref="C59:G59"/>
    <mergeCell ref="B38:G38"/>
    <mergeCell ref="C41:G41"/>
    <mergeCell ref="C42:G42"/>
    <mergeCell ref="C43:G43"/>
    <mergeCell ref="C44:G44"/>
    <mergeCell ref="C39:G39"/>
    <mergeCell ref="C40:G40"/>
    <mergeCell ref="C35:G35"/>
    <mergeCell ref="C36:G36"/>
    <mergeCell ref="C37:G37"/>
    <mergeCell ref="C29:G29"/>
    <mergeCell ref="C30:G30"/>
    <mergeCell ref="C31:G31"/>
    <mergeCell ref="C32:G32"/>
    <mergeCell ref="C33:G33"/>
    <mergeCell ref="C34:G34"/>
    <mergeCell ref="C28:G28"/>
    <mergeCell ref="B14:G14"/>
    <mergeCell ref="B18:G18"/>
    <mergeCell ref="C23:G23"/>
    <mergeCell ref="C24:G24"/>
    <mergeCell ref="C25:G25"/>
    <mergeCell ref="C26:G26"/>
    <mergeCell ref="C27:G27"/>
  </mergeCells>
  <conditionalFormatting sqref="H17:I17">
    <cfRule type="cellIs" dxfId="52" priority="1" operator="equal">
      <formula>"KO"</formula>
    </cfRule>
    <cfRule type="cellIs" dxfId="51" priority="2" operator="equal">
      <formula>"OK"</formula>
    </cfRule>
  </conditionalFormatting>
  <pageMargins left="0.7" right="0.7" top="0.75" bottom="0.75" header="0.3" footer="0.3"/>
  <pageSetup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249977111117893"/>
  </sheetPr>
  <dimension ref="A2:DA88"/>
  <sheetViews>
    <sheetView showGridLines="0" zoomScaleNormal="100" zoomScaleSheetLayoutView="40" workbookViewId="0">
      <selection activeCell="H38" sqref="H38"/>
    </sheetView>
  </sheetViews>
  <sheetFormatPr defaultColWidth="9.140625" defaultRowHeight="12.75" x14ac:dyDescent="0.2"/>
  <cols>
    <col min="1" max="1" width="1.140625" style="172" customWidth="1"/>
    <col min="2" max="2" width="31.5703125" bestFit="1" customWidth="1"/>
    <col min="3" max="3" width="17.85546875" bestFit="1" customWidth="1"/>
    <col min="4" max="4" width="14.85546875" bestFit="1" customWidth="1"/>
    <col min="5" max="12" width="14.5703125" customWidth="1"/>
    <col min="13" max="13" width="14.85546875" customWidth="1"/>
    <col min="14" max="14" width="15.5703125" bestFit="1" customWidth="1"/>
    <col min="15" max="16" width="18.5703125" bestFit="1" customWidth="1"/>
    <col min="17" max="17" width="15.5703125" customWidth="1"/>
    <col min="18" max="33" width="14.5703125" customWidth="1"/>
    <col min="34" max="34" width="15.5703125" customWidth="1"/>
    <col min="35" max="35" width="15.5703125" bestFit="1" customWidth="1"/>
    <col min="36" max="44" width="15.5703125" customWidth="1"/>
    <col min="45" max="45" width="20.140625" style="5" bestFit="1" customWidth="1"/>
    <col min="46" max="47" width="14.5703125" style="5" customWidth="1"/>
    <col min="48" max="48" width="20.140625" style="5" bestFit="1" customWidth="1"/>
    <col min="49" max="50" width="14.5703125" style="5" customWidth="1"/>
    <col min="51" max="51" width="20.140625" style="5" bestFit="1" customWidth="1"/>
    <col min="52" max="53" width="14.5703125" style="5" customWidth="1"/>
    <col min="54" max="54" width="2.5703125" customWidth="1"/>
    <col min="55" max="86" width="17.5703125" customWidth="1"/>
    <col min="87" max="95" width="16.42578125" customWidth="1"/>
    <col min="96" max="96" width="17.5703125" customWidth="1"/>
    <col min="97" max="97" width="10.42578125" bestFit="1" customWidth="1"/>
    <col min="98" max="99" width="17.5703125" customWidth="1"/>
    <col min="100" max="100" width="10.42578125" bestFit="1" customWidth="1"/>
    <col min="101" max="102" width="17.5703125" customWidth="1"/>
    <col min="103" max="103" width="10.42578125" bestFit="1" customWidth="1"/>
    <col min="104" max="104" width="17.5703125" customWidth="1"/>
    <col min="105" max="105" width="2.5703125" customWidth="1"/>
  </cols>
  <sheetData>
    <row r="2" spans="2:105" x14ac:dyDescent="0.2">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358"/>
      <c r="AT2" s="358"/>
      <c r="AU2" s="358"/>
      <c r="AV2" s="358"/>
      <c r="AW2" s="358"/>
      <c r="AX2" s="358"/>
      <c r="AY2" s="358"/>
      <c r="AZ2" s="358"/>
      <c r="BA2" s="35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row>
    <row r="3" spans="2:105" x14ac:dyDescent="0.2">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148"/>
      <c r="AE3" s="148"/>
      <c r="AF3" s="148"/>
      <c r="AG3" s="148"/>
      <c r="AH3" s="27"/>
      <c r="AI3" s="27"/>
      <c r="AJ3" s="27"/>
      <c r="AK3" s="27"/>
      <c r="AL3" s="27"/>
      <c r="AM3" s="27"/>
      <c r="AN3" s="27"/>
      <c r="AO3" s="27"/>
      <c r="AP3" s="27"/>
      <c r="AQ3" s="27"/>
      <c r="AR3" s="27"/>
      <c r="AS3" s="214"/>
      <c r="AT3" s="214"/>
      <c r="AU3" s="214"/>
      <c r="AV3" s="214"/>
      <c r="AW3" s="214"/>
      <c r="AX3" s="214"/>
      <c r="AY3" s="214"/>
      <c r="AZ3" s="214"/>
      <c r="BA3" s="214"/>
      <c r="BB3" s="27"/>
      <c r="CI3" s="144"/>
      <c r="CJ3" s="144"/>
      <c r="CK3" s="144"/>
      <c r="CL3" s="144"/>
      <c r="CM3" s="144"/>
      <c r="CN3" s="144"/>
      <c r="CO3" s="144"/>
      <c r="CP3" s="144"/>
      <c r="CQ3" s="144"/>
      <c r="CT3" s="144"/>
      <c r="CW3" s="144"/>
      <c r="CZ3" s="144"/>
      <c r="DA3" s="27"/>
    </row>
    <row r="4" spans="2:105" x14ac:dyDescent="0.2">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148"/>
      <c r="AE4" s="148"/>
      <c r="AF4" s="148"/>
      <c r="AG4" s="148"/>
      <c r="AH4" s="27"/>
      <c r="AI4" s="27"/>
      <c r="AJ4" s="27"/>
      <c r="AK4" s="27"/>
      <c r="AL4" s="27"/>
      <c r="AM4" s="27"/>
      <c r="AN4" s="27"/>
      <c r="AO4" s="27"/>
      <c r="AP4" s="27"/>
      <c r="AQ4" s="27"/>
      <c r="AR4" s="27"/>
      <c r="AS4" s="214"/>
      <c r="AT4" s="214"/>
      <c r="AU4" s="214"/>
      <c r="AV4" s="214"/>
      <c r="AW4" s="214"/>
      <c r="AX4" s="214"/>
      <c r="AY4" s="214"/>
      <c r="AZ4" s="214"/>
      <c r="BA4" s="214"/>
      <c r="BB4" s="27"/>
      <c r="CI4" s="144"/>
      <c r="CJ4" s="144"/>
      <c r="CK4" s="144"/>
      <c r="CL4" s="144"/>
      <c r="CM4" s="144"/>
      <c r="CN4" s="144"/>
      <c r="CO4" s="144"/>
      <c r="CP4" s="144"/>
      <c r="CQ4" s="144"/>
      <c r="CT4" s="144"/>
      <c r="CW4" s="144"/>
      <c r="CZ4" s="144"/>
      <c r="DA4" s="27"/>
    </row>
    <row r="5" spans="2:105" x14ac:dyDescent="0.2">
      <c r="B5" s="27"/>
      <c r="C5" s="27"/>
      <c r="D5" s="27"/>
      <c r="E5" s="27"/>
      <c r="F5" s="27"/>
      <c r="G5" s="27"/>
      <c r="H5" s="27"/>
      <c r="I5" s="27"/>
      <c r="J5" s="27"/>
      <c r="K5" s="27"/>
      <c r="L5" s="27"/>
      <c r="M5" s="27"/>
      <c r="N5" s="27"/>
      <c r="O5" s="27"/>
      <c r="P5" s="27"/>
      <c r="Q5" s="27"/>
      <c r="R5" s="27"/>
      <c r="S5" s="27"/>
      <c r="T5" s="27"/>
      <c r="U5" s="27"/>
      <c r="V5" s="27"/>
      <c r="W5" s="27"/>
      <c r="X5" s="214"/>
      <c r="Y5" s="27"/>
      <c r="Z5" s="27"/>
      <c r="AA5" s="27"/>
      <c r="AB5" s="27"/>
      <c r="AC5" s="27"/>
      <c r="AD5" s="148"/>
      <c r="AE5" s="148"/>
      <c r="AF5" s="148"/>
      <c r="AG5" s="148"/>
      <c r="AH5" s="27"/>
      <c r="AI5" s="27"/>
      <c r="AJ5" s="27"/>
      <c r="AK5" s="27"/>
      <c r="AL5" s="27"/>
      <c r="AM5" s="27"/>
      <c r="AN5" s="27"/>
      <c r="AO5" s="27"/>
      <c r="AP5" s="27"/>
      <c r="AQ5" s="27"/>
      <c r="AR5" s="27"/>
      <c r="AS5" s="214"/>
      <c r="AT5" s="214"/>
      <c r="AU5" s="214"/>
      <c r="AV5" s="214"/>
      <c r="AW5" s="214"/>
      <c r="AX5" s="214"/>
      <c r="AY5" s="214"/>
      <c r="AZ5" s="214"/>
      <c r="BA5" s="214"/>
      <c r="BB5" s="27"/>
      <c r="CI5" s="144"/>
      <c r="CJ5" s="144"/>
      <c r="CK5" s="144"/>
      <c r="CL5" s="144"/>
      <c r="CM5" s="144"/>
      <c r="CN5" s="144"/>
      <c r="CO5" s="144"/>
      <c r="CP5" s="144"/>
      <c r="CQ5" s="144"/>
      <c r="CT5" s="144"/>
      <c r="CW5" s="144"/>
      <c r="CZ5" s="144"/>
      <c r="DA5" s="27"/>
    </row>
    <row r="6" spans="2:105" x14ac:dyDescent="0.2">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148"/>
      <c r="AE6" s="148"/>
      <c r="AF6" s="148"/>
      <c r="AG6" s="148"/>
      <c r="AH6" s="27"/>
      <c r="AI6" s="214"/>
      <c r="AJ6" s="214"/>
      <c r="AK6" s="214"/>
      <c r="AL6" s="214"/>
      <c r="AM6" s="214"/>
      <c r="AN6" s="214"/>
      <c r="AO6" s="214"/>
      <c r="AP6" s="214"/>
      <c r="AQ6" s="214"/>
      <c r="AR6" s="214"/>
      <c r="AS6" s="214"/>
      <c r="AT6" s="214"/>
      <c r="AU6" s="214"/>
      <c r="AV6" s="214"/>
      <c r="AW6" s="214"/>
      <c r="AX6" s="214"/>
      <c r="AY6" s="214"/>
      <c r="AZ6" s="214"/>
      <c r="BA6" s="214"/>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row>
    <row r="7" spans="2:105" x14ac:dyDescent="0.2">
      <c r="AI7" s="5"/>
      <c r="AJ7" s="5"/>
      <c r="AK7" s="5"/>
      <c r="AL7" s="5"/>
      <c r="AM7" s="5"/>
      <c r="AN7" s="5"/>
      <c r="AO7" s="5"/>
      <c r="AP7" s="5"/>
      <c r="AQ7" s="5"/>
      <c r="AR7" s="5"/>
    </row>
    <row r="8" spans="2:105" ht="15.75" x14ac:dyDescent="0.25">
      <c r="B8" s="581" t="s">
        <v>730</v>
      </c>
      <c r="C8" s="582"/>
      <c r="D8" s="585"/>
      <c r="E8" s="585"/>
      <c r="F8" s="585"/>
      <c r="G8" s="585"/>
      <c r="H8" s="585"/>
      <c r="I8" s="585"/>
      <c r="J8" s="585"/>
      <c r="K8" s="585"/>
      <c r="L8" s="585"/>
      <c r="M8" s="585"/>
      <c r="N8" s="585"/>
      <c r="O8" s="585"/>
      <c r="P8" s="585"/>
      <c r="Q8" s="585"/>
      <c r="R8" s="585"/>
      <c r="S8" s="585"/>
      <c r="T8" s="585"/>
      <c r="U8" s="585"/>
      <c r="V8" s="585"/>
      <c r="W8" s="585"/>
      <c r="X8" s="585"/>
      <c r="Y8" s="585"/>
      <c r="Z8" s="585"/>
      <c r="AA8" s="585"/>
      <c r="AB8" s="585"/>
      <c r="AC8" s="585"/>
      <c r="AD8" s="585"/>
      <c r="AE8" s="585"/>
      <c r="AF8" s="585"/>
      <c r="AG8" s="604"/>
      <c r="AH8" s="604"/>
      <c r="AI8" s="604"/>
      <c r="AJ8" s="585"/>
      <c r="AK8" s="585"/>
      <c r="AL8" s="585"/>
      <c r="AM8" s="585"/>
      <c r="AN8" s="585"/>
      <c r="AO8" s="585"/>
      <c r="AP8" s="585"/>
      <c r="AQ8" s="585"/>
      <c r="AR8" s="585"/>
      <c r="AS8" s="605"/>
      <c r="AT8" s="605"/>
      <c r="AU8" s="606"/>
      <c r="AV8" s="605"/>
      <c r="AW8" s="605"/>
      <c r="AX8" s="606"/>
      <c r="AY8" s="605"/>
      <c r="AZ8" s="605"/>
      <c r="BA8" s="606"/>
      <c r="BB8" s="607"/>
      <c r="BC8" s="607"/>
      <c r="BD8" s="608"/>
      <c r="BE8" s="608"/>
      <c r="BF8" s="608"/>
      <c r="BG8" s="608"/>
      <c r="BH8" s="608"/>
      <c r="BI8" s="608"/>
      <c r="BJ8" s="608"/>
      <c r="BK8" s="608"/>
      <c r="BL8" s="608"/>
      <c r="BM8" s="608"/>
      <c r="BN8" s="608"/>
      <c r="BO8" s="608"/>
      <c r="BP8" s="608"/>
      <c r="BQ8" s="608"/>
      <c r="BR8" s="608"/>
      <c r="BS8" s="608"/>
      <c r="BT8" s="608"/>
      <c r="BU8" s="608"/>
      <c r="BV8" s="608"/>
      <c r="BW8" s="608"/>
      <c r="BX8" s="608"/>
      <c r="BY8" s="608"/>
      <c r="BZ8" s="608"/>
      <c r="CA8" s="608"/>
      <c r="CB8" s="608"/>
      <c r="CC8" s="608"/>
      <c r="CD8" s="608"/>
      <c r="CE8" s="608"/>
      <c r="CF8" s="608"/>
      <c r="CG8" s="608"/>
      <c r="CH8" s="608"/>
      <c r="CI8" s="607"/>
      <c r="CJ8" s="608"/>
      <c r="CK8" s="608"/>
      <c r="CL8" s="608"/>
      <c r="CM8" s="608"/>
      <c r="CN8" s="608"/>
      <c r="CO8" s="607"/>
      <c r="CP8" s="608"/>
      <c r="CQ8" s="608"/>
      <c r="CR8" s="607"/>
      <c r="CS8" s="607"/>
      <c r="CT8" s="607"/>
      <c r="CU8" s="607"/>
      <c r="CV8" s="607"/>
      <c r="CW8" s="607"/>
      <c r="CX8" s="607"/>
      <c r="CY8" s="607"/>
      <c r="CZ8" s="607"/>
      <c r="DA8" s="607"/>
    </row>
    <row r="9" spans="2:105" x14ac:dyDescent="0.2">
      <c r="BJ9" s="4"/>
    </row>
    <row r="10" spans="2:105" x14ac:dyDescent="0.2">
      <c r="N10" s="3"/>
      <c r="Q10" s="1015">
        <f>P17+AS17+CU17</f>
        <v>683038408.28999794</v>
      </c>
      <c r="T10" s="5"/>
      <c r="AS10" s="359"/>
    </row>
    <row r="11" spans="2:105" ht="13.5" thickBot="1" x14ac:dyDescent="0.25">
      <c r="B11" s="2"/>
      <c r="O11" s="5"/>
      <c r="P11" s="3"/>
      <c r="Q11" s="3"/>
      <c r="R11" s="3"/>
    </row>
    <row r="12" spans="2:105" ht="17.25" customHeight="1" thickBot="1" x14ac:dyDescent="0.25">
      <c r="B12" s="2"/>
      <c r="C12" s="609" t="s">
        <v>212</v>
      </c>
      <c r="D12" s="609"/>
      <c r="E12" s="609"/>
      <c r="F12" s="609"/>
      <c r="G12" s="609"/>
      <c r="H12" s="609"/>
      <c r="I12" s="609"/>
      <c r="J12" s="609"/>
      <c r="K12" s="609"/>
      <c r="L12" s="609"/>
      <c r="M12" s="609"/>
      <c r="N12" s="609"/>
      <c r="O12" s="609"/>
      <c r="P12" s="609"/>
      <c r="Q12" s="609"/>
      <c r="R12" s="609"/>
      <c r="S12" s="609"/>
      <c r="T12" s="609"/>
      <c r="U12" s="609"/>
      <c r="V12" s="609"/>
      <c r="W12" s="609"/>
      <c r="X12" s="609"/>
      <c r="Y12" s="609"/>
      <c r="Z12" s="609"/>
      <c r="AA12" s="609"/>
      <c r="AB12" s="609"/>
      <c r="AC12" s="609"/>
      <c r="AD12" s="609"/>
      <c r="AE12" s="609"/>
      <c r="AF12" s="609"/>
      <c r="AG12" s="609"/>
      <c r="AH12" s="609"/>
      <c r="AI12" s="609"/>
      <c r="AJ12" s="609"/>
      <c r="AK12" s="609"/>
      <c r="AL12" s="609"/>
      <c r="AM12" s="609"/>
      <c r="AN12" s="609"/>
      <c r="AO12" s="609"/>
      <c r="AP12" s="609"/>
      <c r="AQ12" s="609"/>
      <c r="AR12" s="609"/>
      <c r="AS12" s="610"/>
      <c r="AT12" s="610"/>
      <c r="AU12" s="610"/>
      <c r="AV12" s="610"/>
      <c r="AW12" s="610"/>
      <c r="AX12" s="610"/>
      <c r="AY12" s="610"/>
      <c r="AZ12" s="610"/>
      <c r="BA12" s="610"/>
      <c r="BC12" s="332" t="s">
        <v>213</v>
      </c>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3"/>
      <c r="CK12" s="333"/>
      <c r="CL12" s="333"/>
      <c r="CM12" s="333"/>
      <c r="CN12" s="333"/>
      <c r="CO12" s="333"/>
      <c r="CP12" s="333"/>
      <c r="CQ12" s="333"/>
      <c r="CR12" s="333"/>
      <c r="CS12" s="333"/>
      <c r="CT12" s="334"/>
      <c r="CU12" s="333"/>
      <c r="CV12" s="333"/>
      <c r="CW12" s="334"/>
      <c r="CX12" s="333"/>
      <c r="CY12" s="333"/>
      <c r="CZ12" s="334"/>
    </row>
    <row r="13" spans="2:105" ht="17.25" customHeight="1" thickBot="1" x14ac:dyDescent="0.25">
      <c r="B13" s="2"/>
      <c r="C13" s="611" t="s">
        <v>199</v>
      </c>
      <c r="D13" s="612"/>
      <c r="E13" s="612"/>
      <c r="F13" s="612"/>
      <c r="G13" s="612"/>
      <c r="H13" s="612"/>
      <c r="I13" s="612"/>
      <c r="J13" s="612"/>
      <c r="K13" s="612"/>
      <c r="L13" s="612"/>
      <c r="M13" s="612"/>
      <c r="N13" s="612"/>
      <c r="O13" s="613"/>
      <c r="P13" s="612"/>
      <c r="Q13" s="612"/>
      <c r="R13" s="611" t="s">
        <v>200</v>
      </c>
      <c r="S13" s="612"/>
      <c r="T13" s="612"/>
      <c r="U13" s="612"/>
      <c r="V13" s="612"/>
      <c r="W13" s="612"/>
      <c r="X13" s="612"/>
      <c r="Y13" s="612"/>
      <c r="Z13" s="612"/>
      <c r="AA13" s="612"/>
      <c r="AB13" s="612"/>
      <c r="AC13" s="612"/>
      <c r="AD13" s="612"/>
      <c r="AE13" s="612"/>
      <c r="AF13" s="612"/>
      <c r="AG13" s="612"/>
      <c r="AH13" s="612"/>
      <c r="AI13" s="612"/>
      <c r="AJ13" s="612"/>
      <c r="AK13" s="612"/>
      <c r="AL13" s="612"/>
      <c r="AM13" s="612"/>
      <c r="AN13" s="612"/>
      <c r="AO13" s="612"/>
      <c r="AP13" s="612"/>
      <c r="AQ13" s="612"/>
      <c r="AR13" s="612"/>
      <c r="AS13" s="614"/>
      <c r="AT13" s="614"/>
      <c r="AU13" s="614"/>
      <c r="AV13" s="614"/>
      <c r="AW13" s="614"/>
      <c r="AX13" s="614"/>
      <c r="AY13" s="614"/>
      <c r="AZ13" s="614"/>
      <c r="BA13" s="614"/>
      <c r="BC13" s="332" t="s">
        <v>199</v>
      </c>
      <c r="BD13" s="333"/>
      <c r="BE13" s="333"/>
      <c r="BF13" s="333"/>
      <c r="BG13" s="333"/>
      <c r="BH13" s="333"/>
      <c r="BI13" s="333"/>
      <c r="BJ13" s="333"/>
      <c r="BK13" s="333"/>
      <c r="BL13" s="333"/>
      <c r="BM13" s="333"/>
      <c r="BN13" s="334"/>
      <c r="BO13" s="334"/>
      <c r="BP13" s="334"/>
      <c r="BQ13" s="332" t="s">
        <v>200</v>
      </c>
      <c r="BR13" s="333"/>
      <c r="BS13" s="333"/>
      <c r="BT13" s="333"/>
      <c r="BU13" s="333"/>
      <c r="BV13" s="333"/>
      <c r="BW13" s="333"/>
      <c r="BX13" s="333"/>
      <c r="BY13" s="333"/>
      <c r="BZ13" s="333"/>
      <c r="CA13" s="333"/>
      <c r="CB13" s="333"/>
      <c r="CC13" s="333"/>
      <c r="CD13" s="333"/>
      <c r="CE13" s="333"/>
      <c r="CF13" s="333"/>
      <c r="CG13" s="333"/>
      <c r="CH13" s="333"/>
      <c r="CI13" s="333"/>
      <c r="CJ13" s="333"/>
      <c r="CK13" s="333"/>
      <c r="CL13" s="333"/>
      <c r="CM13" s="333"/>
      <c r="CN13" s="333"/>
      <c r="CO13" s="333"/>
      <c r="CP13" s="333"/>
      <c r="CQ13" s="333"/>
      <c r="CR13" s="333"/>
      <c r="CS13" s="333"/>
      <c r="CT13" s="333"/>
      <c r="CU13" s="333"/>
      <c r="CV13" s="333"/>
      <c r="CW13" s="333"/>
      <c r="CX13" s="333"/>
      <c r="CY13" s="333"/>
      <c r="CZ13" s="334"/>
    </row>
    <row r="14" spans="2:105" ht="52.5" customHeight="1" thickBot="1" x14ac:dyDescent="0.25">
      <c r="B14" s="1118" t="s">
        <v>666</v>
      </c>
      <c r="C14" s="1120" t="s">
        <v>167</v>
      </c>
      <c r="D14" s="1122" t="s">
        <v>900</v>
      </c>
      <c r="E14" s="1122" t="s">
        <v>136</v>
      </c>
      <c r="F14" s="1122" t="s">
        <v>137</v>
      </c>
      <c r="G14" s="1128" t="s">
        <v>841</v>
      </c>
      <c r="H14" s="1129"/>
      <c r="I14" s="1130"/>
      <c r="J14" s="1122" t="s">
        <v>138</v>
      </c>
      <c r="K14" s="1122" t="s">
        <v>219</v>
      </c>
      <c r="L14" s="1122" t="s">
        <v>220</v>
      </c>
      <c r="M14" s="1122" t="s">
        <v>901</v>
      </c>
      <c r="N14" s="1122" t="s">
        <v>902</v>
      </c>
      <c r="O14" s="1124" t="s">
        <v>232</v>
      </c>
      <c r="P14" s="1114" t="s">
        <v>233</v>
      </c>
      <c r="Q14" s="1114" t="s">
        <v>208</v>
      </c>
      <c r="R14" s="345" t="s">
        <v>201</v>
      </c>
      <c r="S14" s="345"/>
      <c r="T14" s="345"/>
      <c r="U14" s="345" t="s">
        <v>202</v>
      </c>
      <c r="V14" s="345"/>
      <c r="W14" s="345"/>
      <c r="X14" s="345" t="s">
        <v>203</v>
      </c>
      <c r="Y14" s="345"/>
      <c r="Z14" s="345"/>
      <c r="AA14" s="345" t="s">
        <v>847</v>
      </c>
      <c r="AB14" s="345"/>
      <c r="AC14" s="345"/>
      <c r="AD14" s="345" t="s">
        <v>204</v>
      </c>
      <c r="AE14" s="345"/>
      <c r="AF14" s="345"/>
      <c r="AG14" s="345" t="s">
        <v>240</v>
      </c>
      <c r="AH14" s="345"/>
      <c r="AI14" s="345"/>
      <c r="AJ14" s="345" t="s">
        <v>241</v>
      </c>
      <c r="AK14" s="345"/>
      <c r="AL14" s="345"/>
      <c r="AM14" s="345" t="s">
        <v>849</v>
      </c>
      <c r="AN14" s="345"/>
      <c r="AO14" s="345"/>
      <c r="AP14" s="345" t="s">
        <v>850</v>
      </c>
      <c r="AQ14" s="345"/>
      <c r="AR14" s="345"/>
      <c r="AS14" s="360" t="s">
        <v>234</v>
      </c>
      <c r="AT14" s="360"/>
      <c r="AU14" s="361"/>
      <c r="AV14" s="360" t="s">
        <v>235</v>
      </c>
      <c r="AW14" s="360"/>
      <c r="AX14" s="361"/>
      <c r="AY14" s="360" t="s">
        <v>208</v>
      </c>
      <c r="AZ14" s="360"/>
      <c r="BA14" s="361"/>
      <c r="BC14" s="1131" t="s">
        <v>167</v>
      </c>
      <c r="BD14" s="1112" t="s">
        <v>136</v>
      </c>
      <c r="BE14" s="1112" t="s">
        <v>137</v>
      </c>
      <c r="BF14" s="1133" t="s">
        <v>841</v>
      </c>
      <c r="BG14" s="1134"/>
      <c r="BH14" s="1135"/>
      <c r="BI14" s="1112" t="s">
        <v>138</v>
      </c>
      <c r="BJ14" s="1112" t="s">
        <v>219</v>
      </c>
      <c r="BK14" s="1112" t="s">
        <v>220</v>
      </c>
      <c r="BL14" s="1112" t="s">
        <v>901</v>
      </c>
      <c r="BM14" s="1112" t="s">
        <v>903</v>
      </c>
      <c r="BN14" s="1126" t="s">
        <v>232</v>
      </c>
      <c r="BO14" s="1126" t="s">
        <v>233</v>
      </c>
      <c r="BP14" s="1116" t="s">
        <v>208</v>
      </c>
      <c r="BQ14" s="383" t="s">
        <v>201</v>
      </c>
      <c r="BR14" s="383"/>
      <c r="BS14" s="383"/>
      <c r="BT14" s="383" t="s">
        <v>202</v>
      </c>
      <c r="BU14" s="383"/>
      <c r="BV14" s="383"/>
      <c r="BW14" s="383" t="s">
        <v>203</v>
      </c>
      <c r="BX14" s="383"/>
      <c r="BY14" s="383"/>
      <c r="BZ14" s="383" t="s">
        <v>847</v>
      </c>
      <c r="CA14" s="383"/>
      <c r="CB14" s="383"/>
      <c r="CC14" s="383" t="s">
        <v>204</v>
      </c>
      <c r="CD14" s="383"/>
      <c r="CE14" s="383"/>
      <c r="CF14" s="383" t="s">
        <v>242</v>
      </c>
      <c r="CG14" s="383"/>
      <c r="CH14" s="383"/>
      <c r="CI14" s="383" t="s">
        <v>241</v>
      </c>
      <c r="CJ14" s="383"/>
      <c r="CK14" s="383"/>
      <c r="CL14" s="383" t="s">
        <v>849</v>
      </c>
      <c r="CM14" s="383"/>
      <c r="CN14" s="383"/>
      <c r="CO14" s="383" t="s">
        <v>850</v>
      </c>
      <c r="CP14" s="383"/>
      <c r="CQ14" s="383"/>
      <c r="CR14" s="383" t="s">
        <v>234</v>
      </c>
      <c r="CS14" s="383"/>
      <c r="CT14" s="384"/>
      <c r="CU14" s="385" t="s">
        <v>235</v>
      </c>
      <c r="CV14" s="383"/>
      <c r="CW14" s="384"/>
      <c r="CX14" s="385" t="s">
        <v>208</v>
      </c>
      <c r="CY14" s="383"/>
      <c r="CZ14" s="386"/>
    </row>
    <row r="15" spans="2:105" ht="51.75" customHeight="1" thickBot="1" x14ac:dyDescent="0.25">
      <c r="B15" s="1119"/>
      <c r="C15" s="1121"/>
      <c r="D15" s="1123"/>
      <c r="E15" s="1123"/>
      <c r="F15" s="1123"/>
      <c r="G15" s="722" t="s">
        <v>865</v>
      </c>
      <c r="H15" s="724" t="s">
        <v>866</v>
      </c>
      <c r="I15" s="723" t="s">
        <v>867</v>
      </c>
      <c r="J15" s="1123"/>
      <c r="K15" s="1123"/>
      <c r="L15" s="1123"/>
      <c r="M15" s="1123"/>
      <c r="N15" s="1123"/>
      <c r="O15" s="1125"/>
      <c r="P15" s="1115"/>
      <c r="Q15" s="1115"/>
      <c r="R15" s="346" t="s">
        <v>205</v>
      </c>
      <c r="S15" s="346" t="s">
        <v>206</v>
      </c>
      <c r="T15" s="346" t="s">
        <v>207</v>
      </c>
      <c r="U15" s="346" t="s">
        <v>205</v>
      </c>
      <c r="V15" s="346" t="s">
        <v>206</v>
      </c>
      <c r="W15" s="346" t="s">
        <v>207</v>
      </c>
      <c r="X15" s="346" t="s">
        <v>205</v>
      </c>
      <c r="Y15" s="346" t="s">
        <v>206</v>
      </c>
      <c r="Z15" s="346" t="s">
        <v>207</v>
      </c>
      <c r="AA15" s="346" t="s">
        <v>205</v>
      </c>
      <c r="AB15" s="346" t="s">
        <v>206</v>
      </c>
      <c r="AC15" s="346" t="s">
        <v>207</v>
      </c>
      <c r="AD15" s="346" t="s">
        <v>205</v>
      </c>
      <c r="AE15" s="346" t="s">
        <v>206</v>
      </c>
      <c r="AF15" s="346" t="s">
        <v>207</v>
      </c>
      <c r="AG15" s="346" t="s">
        <v>205</v>
      </c>
      <c r="AH15" s="346" t="s">
        <v>206</v>
      </c>
      <c r="AI15" s="346" t="s">
        <v>207</v>
      </c>
      <c r="AJ15" s="346" t="s">
        <v>205</v>
      </c>
      <c r="AK15" s="346" t="s">
        <v>206</v>
      </c>
      <c r="AL15" s="346" t="s">
        <v>207</v>
      </c>
      <c r="AM15" s="346" t="s">
        <v>205</v>
      </c>
      <c r="AN15" s="346" t="s">
        <v>206</v>
      </c>
      <c r="AO15" s="346" t="s">
        <v>207</v>
      </c>
      <c r="AP15" s="346" t="s">
        <v>205</v>
      </c>
      <c r="AQ15" s="346" t="s">
        <v>206</v>
      </c>
      <c r="AR15" s="346" t="s">
        <v>207</v>
      </c>
      <c r="AS15" s="362" t="s">
        <v>205</v>
      </c>
      <c r="AT15" s="362" t="s">
        <v>206</v>
      </c>
      <c r="AU15" s="363" t="s">
        <v>207</v>
      </c>
      <c r="AV15" s="362" t="s">
        <v>205</v>
      </c>
      <c r="AW15" s="362" t="s">
        <v>206</v>
      </c>
      <c r="AX15" s="363" t="s">
        <v>207</v>
      </c>
      <c r="AY15" s="362" t="s">
        <v>205</v>
      </c>
      <c r="AZ15" s="362" t="s">
        <v>206</v>
      </c>
      <c r="BA15" s="363" t="s">
        <v>207</v>
      </c>
      <c r="BC15" s="1132"/>
      <c r="BD15" s="1113"/>
      <c r="BE15" s="1113"/>
      <c r="BF15" s="388" t="s">
        <v>865</v>
      </c>
      <c r="BG15" s="388" t="s">
        <v>866</v>
      </c>
      <c r="BH15" s="388" t="s">
        <v>867</v>
      </c>
      <c r="BI15" s="1113"/>
      <c r="BJ15" s="1113"/>
      <c r="BK15" s="1113"/>
      <c r="BL15" s="1113"/>
      <c r="BM15" s="1113"/>
      <c r="BN15" s="1127"/>
      <c r="BO15" s="1127"/>
      <c r="BP15" s="1117"/>
      <c r="BQ15" s="387" t="s">
        <v>205</v>
      </c>
      <c r="BR15" s="387" t="s">
        <v>206</v>
      </c>
      <c r="BS15" s="387" t="s">
        <v>207</v>
      </c>
      <c r="BT15" s="387" t="s">
        <v>205</v>
      </c>
      <c r="BU15" s="387" t="s">
        <v>206</v>
      </c>
      <c r="BV15" s="387" t="s">
        <v>207</v>
      </c>
      <c r="BW15" s="387" t="s">
        <v>205</v>
      </c>
      <c r="BX15" s="387" t="s">
        <v>206</v>
      </c>
      <c r="BY15" s="387" t="s">
        <v>207</v>
      </c>
      <c r="BZ15" s="387" t="s">
        <v>205</v>
      </c>
      <c r="CA15" s="387" t="s">
        <v>206</v>
      </c>
      <c r="CB15" s="387" t="s">
        <v>207</v>
      </c>
      <c r="CC15" s="387" t="s">
        <v>205</v>
      </c>
      <c r="CD15" s="387" t="s">
        <v>206</v>
      </c>
      <c r="CE15" s="387" t="s">
        <v>207</v>
      </c>
      <c r="CF15" s="387" t="s">
        <v>205</v>
      </c>
      <c r="CG15" s="387" t="s">
        <v>206</v>
      </c>
      <c r="CH15" s="387" t="s">
        <v>207</v>
      </c>
      <c r="CI15" s="387" t="s">
        <v>205</v>
      </c>
      <c r="CJ15" s="387" t="s">
        <v>206</v>
      </c>
      <c r="CK15" s="387" t="s">
        <v>207</v>
      </c>
      <c r="CL15" s="387" t="s">
        <v>205</v>
      </c>
      <c r="CM15" s="387" t="s">
        <v>206</v>
      </c>
      <c r="CN15" s="387" t="s">
        <v>207</v>
      </c>
      <c r="CO15" s="387" t="s">
        <v>205</v>
      </c>
      <c r="CP15" s="387" t="s">
        <v>206</v>
      </c>
      <c r="CQ15" s="387" t="s">
        <v>207</v>
      </c>
      <c r="CR15" s="387" t="s">
        <v>205</v>
      </c>
      <c r="CS15" s="387" t="s">
        <v>206</v>
      </c>
      <c r="CT15" s="388" t="s">
        <v>207</v>
      </c>
      <c r="CU15" s="389" t="s">
        <v>205</v>
      </c>
      <c r="CV15" s="387" t="s">
        <v>206</v>
      </c>
      <c r="CW15" s="388" t="s">
        <v>207</v>
      </c>
      <c r="CX15" s="389" t="s">
        <v>205</v>
      </c>
      <c r="CY15" s="387" t="s">
        <v>206</v>
      </c>
      <c r="CZ15" s="390" t="s">
        <v>207</v>
      </c>
    </row>
    <row r="16" spans="2:105" ht="3.6" customHeight="1" x14ac:dyDescent="0.2">
      <c r="B16" s="6"/>
      <c r="C16" s="151"/>
      <c r="D16" s="152"/>
      <c r="E16" s="152"/>
      <c r="F16" s="152"/>
      <c r="G16" s="152"/>
      <c r="H16" s="152"/>
      <c r="I16" s="152"/>
      <c r="J16" s="152"/>
      <c r="K16" s="152"/>
      <c r="L16" s="152"/>
      <c r="M16" s="152"/>
      <c r="N16" s="152"/>
      <c r="O16" s="152"/>
      <c r="P16" s="152"/>
      <c r="Q16" s="152"/>
      <c r="R16" s="151"/>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364"/>
      <c r="AT16" s="364"/>
      <c r="AU16" s="364"/>
      <c r="AV16" s="364"/>
      <c r="AW16" s="364"/>
      <c r="AX16" s="364"/>
      <c r="AY16" s="364"/>
      <c r="AZ16" s="364"/>
      <c r="BA16" s="365"/>
      <c r="BC16" s="7"/>
      <c r="BD16" s="375"/>
      <c r="BE16" s="375"/>
      <c r="BF16" s="375"/>
      <c r="BG16" s="375"/>
      <c r="BH16" s="375"/>
      <c r="BI16" s="375"/>
      <c r="BJ16" s="375"/>
      <c r="BK16" s="375"/>
      <c r="BL16" s="375"/>
      <c r="BM16" s="375"/>
      <c r="BN16" s="1"/>
      <c r="BO16" s="1"/>
      <c r="BP16" s="367"/>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45"/>
    </row>
    <row r="17" spans="2:105" s="2" customFormat="1" x14ac:dyDescent="0.2">
      <c r="B17" s="1018">
        <f>'00 - Cover'!F14</f>
        <v>45565</v>
      </c>
      <c r="C17" s="1019">
        <f>IF($B17=0,"",SUMIFS(INPUT_DATA!D:D,INPUT_DATA!$A:$A,$B17,INPUT_DATA!$C:$C,"S"))</f>
        <v>688594142.69999981</v>
      </c>
      <c r="D17" s="1020">
        <f>IF($B17=0,"",SUMIFS(INPUT_DATA!E:E,INPUT_DATA!$A:$A,$B17,INPUT_DATA!$C:$C,"S"))</f>
        <v>0</v>
      </c>
      <c r="E17" s="746">
        <f>IF($B17=0,"",SUMIFS(INPUT_DATA!F:F,INPUT_DATA!$A:$A,$B17,INPUT_DATA!$C:$C,"S"))</f>
        <v>4821644.0899999896</v>
      </c>
      <c r="F17" s="746">
        <f>IF($B17=0,"",SUMIFS(INPUT_DATA!G:G,INPUT_DATA!$A:$A,$B17,INPUT_DATA!$C:$C,"S"))</f>
        <v>806173.41</v>
      </c>
      <c r="G17" s="746">
        <f>IF($B17=0,"",SUMIFS(INPUT_DATA!H:H,INPUT_DATA!$A:$A,$B17,INPUT_DATA!$C:$C,"S"))</f>
        <v>0</v>
      </c>
      <c r="H17" s="746">
        <f>IF($B17=0,"",SUMIFS(INPUT_DATA!I:I,INPUT_DATA!$A:$A,$B17,INPUT_DATA!$C:$C,"S"))</f>
        <v>250.78000000000003</v>
      </c>
      <c r="I17" s="746">
        <f>IF($B17=0,"",SUMIFS(INPUT_DATA!J:J,INPUT_DATA!$A:$A,$B17,INPUT_DATA!$C:$C,"S"))</f>
        <v>0</v>
      </c>
      <c r="J17" s="746">
        <f>IF($B17=0,"",SUMIFS(INPUT_DATA!K:K,INPUT_DATA!$A:$A,$B17,INPUT_DATA!$C:$C,"S"))</f>
        <v>0</v>
      </c>
      <c r="K17" s="746">
        <f>IF($B17=0,"",SUMIFS(INPUT_DATA!L:L,INPUT_DATA!$A:$A,$B17,INPUT_DATA!$C:$C,"S"))</f>
        <v>0</v>
      </c>
      <c r="L17" s="746">
        <f>IF($B17=0,"",SUMIFS(INPUT_DATA!M:M,INPUT_DATA!$A:$A,$B17,INPUT_DATA!$C:$C,"S"))</f>
        <v>0</v>
      </c>
      <c r="M17" s="746">
        <f>IF($B17=0,"",SUMIFS(INPUT_DATA!N:N,INPUT_DATA!$A:$A,$B17,INPUT_DATA!$C:$C,"S"))</f>
        <v>0</v>
      </c>
      <c r="N17" s="746">
        <f>IF($B17=0,"",SUMIFS(INPUT_DATA!O:O,INPUT_DATA!$A:$A,$B17,INPUT_DATA!$C:$C,"S"))</f>
        <v>0</v>
      </c>
      <c r="O17" s="1021">
        <f t="shared" ref="O17:O22" si="0">IF($B17=0,"",C17+D17-E17-F17+G17+H17+I17-J17-K17+L17-M17-N17)</f>
        <v>682966575.97999978</v>
      </c>
      <c r="P17" s="1022">
        <f>IF($B17=0,"",SUMIFS(INPUT_DATA!P:P,INPUT_DATA!$A:$A,$B17,INPUT_DATA!$C:$C,"S"))</f>
        <v>682966575.97999787</v>
      </c>
      <c r="Q17" s="1022">
        <f t="shared" ref="Q17:Q22" si="1">IF($B17=0,"",O17-P17)</f>
        <v>1.9073486328125E-6</v>
      </c>
      <c r="R17" s="1023">
        <f>IF($B17=0,"",SUMIFS(INPUT_DATA!Q:Q,INPUT_DATA!$A:$A,$B17,INPUT_DATA!$C:$C,"S"))</f>
        <v>65309.620000000024</v>
      </c>
      <c r="S17" s="1023">
        <f>IF($B17=0,"",SUMIFS(INPUT_DATA!R:R,INPUT_DATA!$A:$A,$B17,INPUT_DATA!$C:$C,"S"))</f>
        <v>3102.21</v>
      </c>
      <c r="T17" s="1023">
        <f>IF($B17=0,"",SUMIFS(INPUT_DATA!S:S,INPUT_DATA!$A:$A,$B17,INPUT_DATA!$C:$C,"S"))</f>
        <v>0</v>
      </c>
      <c r="U17" s="1023">
        <f>IF($B17=0,"",SUMIFS(INPUT_DATA!T:T,INPUT_DATA!$A:$A,$B17,INPUT_DATA!$C:$C,"S"))</f>
        <v>58910.87</v>
      </c>
      <c r="V17" s="1023">
        <f>IF($B17=0,"",SUMIFS(INPUT_DATA!U:U,INPUT_DATA!$A:$A,$B17,INPUT_DATA!$C:$C,"S"))</f>
        <v>4311.2500000000009</v>
      </c>
      <c r="W17" s="1023">
        <f>IF($B17=0,"",SUMIFS(INPUT_DATA!V:V,INPUT_DATA!$A:$A,$B17,INPUT_DATA!$C:$C,"S"))</f>
        <v>0</v>
      </c>
      <c r="X17" s="1023">
        <f>IF($B17=0,"",SUMIFS(INPUT_DATA!W:W,INPUT_DATA!$A:$A,$B17,INPUT_DATA!$C:$C,"S"))</f>
        <v>52388.180000000015</v>
      </c>
      <c r="Y17" s="1023">
        <f>IF($B17=0,"",SUMIFS(INPUT_DATA!X:X,INPUT_DATA!$A:$A,$B17,INPUT_DATA!$C:$C,"S"))</f>
        <v>2606.0200000000004</v>
      </c>
      <c r="Z17" s="1023">
        <f>IF($B17=0,"",SUMIFS(INPUT_DATA!Y:Y,INPUT_DATA!$A:$A,$B17,INPUT_DATA!$C:$C,"S"))</f>
        <v>0</v>
      </c>
      <c r="AA17" s="1023">
        <f>IF($B17=0,"",SUMIFS(INPUT_DATA!Z:Z,INPUT_DATA!$A:$A,$B17,INPUT_DATA!$C:$C,"S"))</f>
        <v>0</v>
      </c>
      <c r="AB17" s="1023">
        <f>IF($B17=0,"",SUMIFS(INPUT_DATA!AA:AA,INPUT_DATA!$A:$A,$B17,INPUT_DATA!$C:$C,"S"))</f>
        <v>0</v>
      </c>
      <c r="AC17" s="1023">
        <f>IF($B17=0,"",SUMIFS(INPUT_DATA!AB:AB,INPUT_DATA!$A:$A,$B17,INPUT_DATA!$C:$C,"S"))</f>
        <v>0</v>
      </c>
      <c r="AD17" s="1023">
        <f>IF($B17=0,"",SUMIFS(INPUT_DATA!AC:AC,INPUT_DATA!$A:$A,$B17,INPUT_DATA!$C:$C,"S"))</f>
        <v>0</v>
      </c>
      <c r="AE17" s="1023">
        <f>IF($B17=0,"",SUMIFS(INPUT_DATA!AD:AD,INPUT_DATA!$A:$A,$B17,INPUT_DATA!$C:$C,"S"))</f>
        <v>0</v>
      </c>
      <c r="AF17" s="1023">
        <f>IF($B17=0,"",SUMIFS(INPUT_DATA!AE:AE,INPUT_DATA!$A:$A,$B17,INPUT_DATA!$C:$C,"S"))</f>
        <v>0</v>
      </c>
      <c r="AG17" s="1023">
        <f>IF($B17=0,"",SUMIFS(INPUT_DATA!AF:AF,INPUT_DATA!$A:$A,$B17,INPUT_DATA!$C:$C,"S"))</f>
        <v>3515.46</v>
      </c>
      <c r="AH17" s="1023">
        <f>IF($B17=0,"",SUMIFS(INPUT_DATA!AG:AG,INPUT_DATA!$A:$A,$B17,INPUT_DATA!$C:$C,"S"))</f>
        <v>42.78</v>
      </c>
      <c r="AI17" s="1023">
        <f>IF($B17=0,"",SUMIFS(INPUT_DATA!AH:AH,INPUT_DATA!$A:$A,$B17,INPUT_DATA!$C:$C,"S"))</f>
        <v>0</v>
      </c>
      <c r="AJ17" s="1023">
        <f>IF($B17=0,"",SUMIFS(INPUT_DATA!AI:AI,INPUT_DATA!$A:$A,$B17,INPUT_DATA!$C:$C,"S"))</f>
        <v>0</v>
      </c>
      <c r="AK17" s="1023">
        <f>IF($B17=0,"",SUMIFS(INPUT_DATA!AJ:AJ,INPUT_DATA!$A:$A,$B17,INPUT_DATA!$C:$C,"S"))</f>
        <v>0</v>
      </c>
      <c r="AL17" s="1023">
        <f>IF($B17=0,"",SUMIFS(INPUT_DATA!AK:AK,INPUT_DATA!$A:$A,$B17,INPUT_DATA!$C:$C,"S"))</f>
        <v>0</v>
      </c>
      <c r="AM17" s="1023">
        <f>IF($B17=0,"",SUMIFS(INPUT_DATA!AL:AL,INPUT_DATA!$A:$A,$B17,INPUT_DATA!$C:$C,"S"))</f>
        <v>0</v>
      </c>
      <c r="AN17" s="1023">
        <f>IF($B17=0,"",SUMIFS(INPUT_DATA!AM:AM,INPUT_DATA!$A:$A,$B17,INPUT_DATA!$C:$C,"S"))</f>
        <v>0</v>
      </c>
      <c r="AO17" s="1023">
        <f>IF($B17=0,"",SUMIFS(INPUT_DATA!AN:AN,INPUT_DATA!$A:$A,$B17,INPUT_DATA!$C:$C,"S"))</f>
        <v>0</v>
      </c>
      <c r="AP17" s="1023">
        <f>IF($B17=0,"",SUMIFS(INPUT_DATA!AO:AO,INPUT_DATA!$A:$A,$B17,INPUT_DATA!$C:$C,"S"))</f>
        <v>0</v>
      </c>
      <c r="AQ17" s="1023">
        <f>IF($B17=0,"",SUMIFS(INPUT_DATA!AP:AP,INPUT_DATA!$A:$A,$B17,INPUT_DATA!$C:$C,"S"))</f>
        <v>0</v>
      </c>
      <c r="AR17" s="1023">
        <f>IF($B17=0,"",SUMIFS(INPUT_DATA!AQ:AQ,INPUT_DATA!$A:$A,$B17,INPUT_DATA!$C:$C,"S"))</f>
        <v>0</v>
      </c>
      <c r="AS17" s="1024">
        <f t="shared" ref="AS17:AS21" si="2">IF($B17=0,"",R17+U17-X17-AA17-AD17-AG17+AJ17-AM17-AP17)</f>
        <v>68316.849999999991</v>
      </c>
      <c r="AT17" s="1025">
        <f t="shared" ref="AT17:AT21" si="3">IF($B17=0,"",S17+V17-Y17-AB17-AE17-AH17+AK17-AN17-AQ17)</f>
        <v>4764.6600000000008</v>
      </c>
      <c r="AU17" s="1026">
        <f t="shared" ref="AU17:AU21" si="4">IF($B17=0,"",T17+W17-Z17-AC17-AF17-AI17+AL17-AO17-AR17)</f>
        <v>0</v>
      </c>
      <c r="AV17" s="1024">
        <f>IF($B17=0,"",SUMIFS(INPUT_DATA!AR:AR,INPUT_DATA!$A:$A,$B17,INPUT_DATA!$C:$C,"S"))</f>
        <v>68316.850000000006</v>
      </c>
      <c r="AW17" s="1025">
        <f>IF($B17=0,"",SUMIFS(INPUT_DATA!AS:AS,INPUT_DATA!$A:$A,$B17,INPUT_DATA!$C:$C,"S"))</f>
        <v>4764.66</v>
      </c>
      <c r="AX17" s="1026">
        <f>IF($B17=0,"",SUMIFS(INPUT_DATA!AT:AT,INPUT_DATA!$A:$A,$B17,INPUT_DATA!$C:$C,"S"))</f>
        <v>0</v>
      </c>
      <c r="AY17" s="1024">
        <f>IF($B17=0,"",AS17-AV17)</f>
        <v>-1.4551915228366852E-11</v>
      </c>
      <c r="AZ17" s="1025">
        <f t="shared" ref="AZ17:BA17" si="5">IF($B17=0,"",AT17-AW17)</f>
        <v>9.0949470177292824E-13</v>
      </c>
      <c r="BA17" s="1026">
        <f t="shared" si="5"/>
        <v>0</v>
      </c>
      <c r="BB17" s="1027"/>
      <c r="BC17" s="1019">
        <f>IF($B17=0,"",SUMIFS(INPUT_DATA!D:D,INPUT_DATA!$A:$A,$B17,INPUT_DATA!$C:$C,"D"))</f>
        <v>0</v>
      </c>
      <c r="BD17" s="739">
        <f>IF($B17=0,"",SUMIFS(INPUT_DATA!F:F,INPUT_DATA!$A:$A,$B17,INPUT_DATA!$C:$C,"D"))</f>
        <v>0</v>
      </c>
      <c r="BE17" s="739">
        <f>IF($B17=0,"",SUMIFS(INPUT_DATA!G:G,INPUT_DATA!$A:$A,$B17,INPUT_DATA!$C:$C,"D"))</f>
        <v>0</v>
      </c>
      <c r="BF17" s="739">
        <f>IF($B17=0,"",SUMIFS(INPUT_DATA!H:H,INPUT_DATA!$A:$A,$B17,INPUT_DATA!$C:$C,"D"))</f>
        <v>0</v>
      </c>
      <c r="BG17" s="739">
        <f>IF($B17=0,"",SUMIFS(INPUT_DATA!I:I,INPUT_DATA!$A:$A,$B17,INPUT_DATA!$C:$C,"D"))</f>
        <v>0</v>
      </c>
      <c r="BH17" s="739">
        <f>IF($B17=0,"",SUMIFS(INPUT_DATA!J:J,INPUT_DATA!$A:$A,$B17,INPUT_DATA!$C:$C,"D"))</f>
        <v>0</v>
      </c>
      <c r="BI17" s="739">
        <f>IF($B17=0,"",SUMIFS(INPUT_DATA!K:K,INPUT_DATA!$A:$A,$B17,INPUT_DATA!$C:$C,"D"))</f>
        <v>0</v>
      </c>
      <c r="BJ17" s="739">
        <f>IF($B17=0,"",SUMIFS(INPUT_DATA!L:L,INPUT_DATA!$A:$A,$B17,INPUT_DATA!$C:$C,"D"))</f>
        <v>0</v>
      </c>
      <c r="BK17" s="739">
        <f>IF($B17=0,"",SUMIFS(INPUT_DATA!M:M,INPUT_DATA!$A:$A,$B17,INPUT_DATA!$C:$C,"D"))</f>
        <v>0</v>
      </c>
      <c r="BL17" s="739">
        <f>IF($B17=0,"",SUMIFS(INPUT_DATA!N:N,INPUT_DATA!$A:$A,$B17,INPUT_DATA!$C:$C,"D"))</f>
        <v>0</v>
      </c>
      <c r="BM17" s="739">
        <f>IF($B17=0,"",SUMIFS(INPUT_DATA!O:O,INPUT_DATA!$A:$A,$B17,INPUT_DATA!$C:$C,"D"))</f>
        <v>0</v>
      </c>
      <c r="BN17" s="1028">
        <f>IF($B17=0,"",BC17-BD17-BE17+BF17+BG17+BH17-BI17+BJ17-BK17-BL17-BM17)</f>
        <v>0</v>
      </c>
      <c r="BO17" s="1028">
        <f>IF($B17=0,"",SUMIFS(INPUT_DATA!O:O,INPUT_DATA!$A:$A,$B17,INPUT_DATA!$C:$C,"D"))</f>
        <v>0</v>
      </c>
      <c r="BP17" s="1028">
        <f>IF($B17=0,"",BN17-BO17)</f>
        <v>0</v>
      </c>
      <c r="BQ17" s="1019">
        <f>IF($B17=0,"",SUMIFS(INPUT_DATA!Q:Q,INPUT_DATA!$A:$A,$B17,INPUT_DATA!$C:$C,"D"))</f>
        <v>3272.83</v>
      </c>
      <c r="BR17" s="1029">
        <f>IF($B17=0,"",SUMIFS(INPUT_DATA!R:R,INPUT_DATA!$A:$A,$B17,INPUT_DATA!$C:$C,"D"))</f>
        <v>0</v>
      </c>
      <c r="BS17" s="1029">
        <f>IF($B17=0,"",SUMIFS(INPUT_DATA!S:S,INPUT_DATA!$A:$A,$B17,INPUT_DATA!$C:$C,"D"))</f>
        <v>0</v>
      </c>
      <c r="BT17" s="739">
        <f>IF($B17=0,"",SUMIFS(INPUT_DATA!T:T,INPUT_DATA!$A:$A,$B17,INPUT_DATA!$C:$C,"D"))</f>
        <v>0</v>
      </c>
      <c r="BU17" s="739">
        <f>IF($B17=0,"",SUMIFS(INPUT_DATA!U:U,INPUT_DATA!$A:$A,$B17,INPUT_DATA!$C:$C,"D"))</f>
        <v>0</v>
      </c>
      <c r="BV17" s="739">
        <f>IF($B17=0,"",SUMIFS(INPUT_DATA!V:V,INPUT_DATA!$A:$A,$B17,INPUT_DATA!$C:$C,"D"))</f>
        <v>0</v>
      </c>
      <c r="BW17" s="739">
        <f>IF($B17=0,"",SUMIFS(INPUT_DATA!W:W,INPUT_DATA!$A:$A,$B17,INPUT_DATA!$C:$C,"D"))</f>
        <v>3272.83</v>
      </c>
      <c r="BX17" s="739">
        <f>IF($B17=0,"",SUMIFS(INPUT_DATA!X:X,INPUT_DATA!$A:$A,$B17,INPUT_DATA!$C:$C,"D"))</f>
        <v>0</v>
      </c>
      <c r="BY17" s="739">
        <f>IF($B17=0,"",SUMIFS(INPUT_DATA!Y:Y,INPUT_DATA!$A:$A,$B17,INPUT_DATA!$C:$C,"D"))</f>
        <v>0</v>
      </c>
      <c r="BZ17" s="740">
        <f>IF($B17=0,"",SUMIFS(INPUT_DATA!Z:Z,INPUT_DATA!$A:$A,$B17,INPUT_DATA!$C:$C,"D"))</f>
        <v>0</v>
      </c>
      <c r="CA17" s="740">
        <f>IF($B17=0,"",SUMIFS(INPUT_DATA!AA:AA,INPUT_DATA!$A:$A,$B17,INPUT_DATA!$C:$C,"D"))</f>
        <v>0</v>
      </c>
      <c r="CB17" s="740">
        <f>IF($B17=0,"",SUMIFS(INPUT_DATA!AB:AB,INPUT_DATA!$A:$A,$B17,INPUT_DATA!$C:$C,"D"))</f>
        <v>0</v>
      </c>
      <c r="CC17" s="739">
        <f>IF($B17=0,"",SUMIFS(INPUT_DATA!AC:AC,INPUT_DATA!$A:$A,$B17,INPUT_DATA!$C:$C,"D"))</f>
        <v>0</v>
      </c>
      <c r="CD17" s="739">
        <f>IF($B17=0,"",SUMIFS(INPUT_DATA!AD:AD,INPUT_DATA!$A:$A,$B17,INPUT_DATA!$C:$C,"D"))</f>
        <v>0</v>
      </c>
      <c r="CE17" s="739">
        <f>IF($B17=0,"",SUMIFS(INPUT_DATA!AE:AE,INPUT_DATA!$A:$A,$B17,INPUT_DATA!$C:$C,"D"))</f>
        <v>0</v>
      </c>
      <c r="CF17" s="740">
        <f>IF($B17=0,"",SUMIFS(INPUT_DATA!AF:AF,INPUT_DATA!$A:$A,$B17,INPUT_DATA!$C:$C,"D"))</f>
        <v>3515.46</v>
      </c>
      <c r="CG17" s="740">
        <f>IF($B17=0,"",SUMIFS(INPUT_DATA!AG:AG,INPUT_DATA!$A:$A,$B17,INPUT_DATA!$C:$C,"D"))</f>
        <v>42.78</v>
      </c>
      <c r="CH17" s="740">
        <f>IF($B17=0,"",SUMIFS(INPUT_DATA!AH:AH,INPUT_DATA!$A:$A,$B17,INPUT_DATA!$C:$C,"D"))</f>
        <v>0</v>
      </c>
      <c r="CI17" s="746">
        <f>IF($B17=0,"",SUMIFS(INPUT_DATA!AI:AI,INPUT_DATA!$A:$A,$B17,INPUT_DATA!$C:$C,"D"))</f>
        <v>0</v>
      </c>
      <c r="CJ17" s="746">
        <f>IF($B17=0,"",SUMIFS(INPUT_DATA!AJ:AJ,INPUT_DATA!$A:$A,$B17,INPUT_DATA!$C:$C,"D"))</f>
        <v>0</v>
      </c>
      <c r="CK17" s="746">
        <f>IF($B17=0,"",SUMIFS(INPUT_DATA!AK:AK,INPUT_DATA!$A:$A,$B17,INPUT_DATA!$C:$C,"D"))</f>
        <v>0</v>
      </c>
      <c r="CL17" s="746">
        <f>IF($B17=0,"",SUMIFS(INPUT_DATA!AL:AL,INPUT_DATA!$A:$A,$B17,INPUT_DATA!$C:$C,"D"))</f>
        <v>0</v>
      </c>
      <c r="CM17" s="746">
        <f>IF($B17=0,"",SUMIFS(INPUT_DATA!AM:AM,INPUT_DATA!$A:$A,$B17,INPUT_DATA!$C:$C,"D"))</f>
        <v>0</v>
      </c>
      <c r="CN17" s="746">
        <f>IF($B17=0,"",SUMIFS(INPUT_DATA!AN:AN,INPUT_DATA!$A:$A,$B17,INPUT_DATA!$C:$C,"D"))</f>
        <v>0</v>
      </c>
      <c r="CO17" s="746">
        <f>IF($B17=0,"",SUMIFS(INPUT_DATA!AO:AO,INPUT_DATA!$A:$A,$B17,INPUT_DATA!$C:$C,"D"))</f>
        <v>0</v>
      </c>
      <c r="CP17" s="746">
        <f>IF($B17=0,"",SUMIFS(INPUT_DATA!AP:AP,INPUT_DATA!$A:$A,$B17,INPUT_DATA!$C:$C,"D"))</f>
        <v>0</v>
      </c>
      <c r="CQ17" s="746">
        <f>IF($B17=0,"",SUMIFS(INPUT_DATA!AQ:AQ,INPUT_DATA!$A:$A,$B17,INPUT_DATA!$C:$C,"D"))</f>
        <v>0</v>
      </c>
      <c r="CR17" s="1025">
        <f>IF($B17=0,"",BQ17+BT17-BW17-BZ17-CC17+CF17-CI17-CL17-CO17)</f>
        <v>3515.46</v>
      </c>
      <c r="CS17" s="1025">
        <f t="shared" ref="CS17:CT17" si="6">IF($B17=0,"",BR17+BU17-BX17-CA17-CD17+CG17-CJ17-CM17-CP17)</f>
        <v>42.78</v>
      </c>
      <c r="CT17" s="1025">
        <f t="shared" si="6"/>
        <v>0</v>
      </c>
      <c r="CU17" s="1020">
        <f>IF($B17=0,"",SUMIFS(INPUT_DATA!AR:AR,INPUT_DATA!$A:$A,$B17,INPUT_DATA!$C:$C,"D"))</f>
        <v>3515.46</v>
      </c>
      <c r="CV17" s="1020">
        <f>IF($B17=0,"",SUMIFS(INPUT_DATA!AS:AS,INPUT_DATA!$A:$A,$B17,INPUT_DATA!$C:$C,"D"))</f>
        <v>42.78</v>
      </c>
      <c r="CW17" s="1020">
        <f>IF($B17=0,"",SUMIFS(INPUT_DATA!AT:AT,INPUT_DATA!$A:$A,$B17,INPUT_DATA!$C:$C,"D"))</f>
        <v>0</v>
      </c>
      <c r="CX17" s="1020">
        <f>IF($B17=0,"",CR17-CU17)</f>
        <v>0</v>
      </c>
      <c r="CY17" s="1025">
        <f t="shared" ref="CY17" si="7">IF($B17=0,"",CS17-CV17)</f>
        <v>0</v>
      </c>
      <c r="CZ17" s="1030">
        <f t="shared" ref="CZ17" si="8">IF($B17=0,"",CT17-CW17)</f>
        <v>0</v>
      </c>
      <c r="DA17" s="374"/>
    </row>
    <row r="18" spans="2:105" x14ac:dyDescent="0.2">
      <c r="B18" s="720">
        <f>INPUT_DATA!BQ5</f>
        <v>45535</v>
      </c>
      <c r="C18" s="1031">
        <f>IF($B18=0,"",SUMIFS(INPUT_DATA!D:D,INPUT_DATA!$A:$A,$B18,INPUT_DATA!$C:$C,"S"))</f>
        <v>695433900.90000021</v>
      </c>
      <c r="D18" s="366">
        <f>IF($B18=0,"",SUMIFS(INPUT_DATA!E:E,INPUT_DATA!$A:$A,$B18,INPUT_DATA!$C:$C,"S"))</f>
        <v>0</v>
      </c>
      <c r="E18" s="153">
        <f>IF($B18=0,"",SUMIFS(INPUT_DATA!F:F,INPUT_DATA!$A:$A,$B18,INPUT_DATA!$C:$C,"S"))</f>
        <v>4836308.9699999942</v>
      </c>
      <c r="F18" s="153">
        <f>IF($B18=0,"",SUMIFS(INPUT_DATA!G:G,INPUT_DATA!$A:$A,$B18,INPUT_DATA!$C:$C,"S"))</f>
        <v>2003699.8000000003</v>
      </c>
      <c r="G18" s="153">
        <f>IF($B18=0,"",SUMIFS(INPUT_DATA!H:H,INPUT_DATA!$A:$A,$B18,INPUT_DATA!$C:$C,"S"))</f>
        <v>0</v>
      </c>
      <c r="H18" s="153">
        <f>IF($B18=0,"",SUMIFS(INPUT_DATA!I:I,INPUT_DATA!$A:$A,$B18,INPUT_DATA!$C:$C,"S"))</f>
        <v>250.57</v>
      </c>
      <c r="I18" s="153">
        <f>IF($B18=0,"",SUMIFS(INPUT_DATA!J:J,INPUT_DATA!$A:$A,$B18,INPUT_DATA!$C:$C,"S"))</f>
        <v>0</v>
      </c>
      <c r="J18" s="153">
        <f>IF($B18=0,"",SUMIFS(INPUT_DATA!K:K,INPUT_DATA!$A:$A,$B18,INPUT_DATA!$C:$C,"S"))</f>
        <v>0</v>
      </c>
      <c r="K18" s="153">
        <f>IF($B18=0,"",SUMIFS(INPUT_DATA!L:L,INPUT_DATA!$A:$A,$B18,INPUT_DATA!$C:$C,"S"))</f>
        <v>0</v>
      </c>
      <c r="L18" s="153">
        <f>IF($B18=0,"",SUMIFS(INPUT_DATA!M:M,INPUT_DATA!$A:$A,$B18,INPUT_DATA!$C:$C,"S"))</f>
        <v>0</v>
      </c>
      <c r="M18" s="153">
        <f>IF($B18=0,"",SUMIFS(INPUT_DATA!N:N,INPUT_DATA!$A:$A,$B18,INPUT_DATA!$C:$C,"S"))</f>
        <v>0</v>
      </c>
      <c r="N18" s="153">
        <f>IF($B18=0,"",SUMIFS(INPUT_DATA!O:O,INPUT_DATA!$A:$A,$B18,INPUT_DATA!$C:$C,"S"))</f>
        <v>0</v>
      </c>
      <c r="O18" s="1032">
        <f t="shared" si="0"/>
        <v>688594142.70000029</v>
      </c>
      <c r="P18" s="1033">
        <f>IF($B18=0,"",SUMIFS(INPUT_DATA!P:P,INPUT_DATA!$A:$A,$B18,INPUT_DATA!$C:$C,"S"))</f>
        <v>688594142.69999981</v>
      </c>
      <c r="Q18" s="1033">
        <f t="shared" si="1"/>
        <v>4.76837158203125E-7</v>
      </c>
      <c r="R18" s="312">
        <f>IF($B18=0,"",SUMIFS(INPUT_DATA!Q:Q,INPUT_DATA!$A:$A,$B18,INPUT_DATA!$C:$C,"S"))</f>
        <v>75125.440000000017</v>
      </c>
      <c r="S18" s="312">
        <f>IF($B18=0,"",SUMIFS(INPUT_DATA!R:R,INPUT_DATA!$A:$A,$B18,INPUT_DATA!$C:$C,"S"))</f>
        <v>10516.199999999999</v>
      </c>
      <c r="T18" s="312">
        <f>IF($B18=0,"",SUMIFS(INPUT_DATA!S:S,INPUT_DATA!$A:$A,$B18,INPUT_DATA!$C:$C,"S"))</f>
        <v>0</v>
      </c>
      <c r="U18" s="312">
        <f>IF($B18=0,"",SUMIFS(INPUT_DATA!T:T,INPUT_DATA!$A:$A,$B18,INPUT_DATA!$C:$C,"S"))</f>
        <v>50700.250000000007</v>
      </c>
      <c r="V18" s="312">
        <f>IF($B18=0,"",SUMIFS(INPUT_DATA!U:U,INPUT_DATA!$A:$A,$B18,INPUT_DATA!$C:$C,"S"))</f>
        <v>2636.61</v>
      </c>
      <c r="W18" s="312">
        <f>IF($B18=0,"",SUMIFS(INPUT_DATA!V:V,INPUT_DATA!$A:$A,$B18,INPUT_DATA!$C:$C,"S"))</f>
        <v>0</v>
      </c>
      <c r="X18" s="312">
        <f>IF($B18=0,"",SUMIFS(INPUT_DATA!W:W,INPUT_DATA!$A:$A,$B18,INPUT_DATA!$C:$C,"S"))</f>
        <v>60516.070000000022</v>
      </c>
      <c r="Y18" s="312">
        <f>IF($B18=0,"",SUMIFS(INPUT_DATA!X:X,INPUT_DATA!$A:$A,$B18,INPUT_DATA!$C:$C,"S"))</f>
        <v>10050.6</v>
      </c>
      <c r="Z18" s="312">
        <f>IF($B18=0,"",SUMIFS(INPUT_DATA!Y:Y,INPUT_DATA!$A:$A,$B18,INPUT_DATA!$C:$C,"S"))</f>
        <v>0</v>
      </c>
      <c r="AA18" s="312">
        <f>IF($B18=0,"",SUMIFS(INPUT_DATA!Z:Z,INPUT_DATA!$A:$A,$B18,INPUT_DATA!$C:$C,"S"))</f>
        <v>0</v>
      </c>
      <c r="AB18" s="312">
        <f>IF($B18=0,"",SUMIFS(INPUT_DATA!AA:AA,INPUT_DATA!$A:$A,$B18,INPUT_DATA!$C:$C,"S"))</f>
        <v>0</v>
      </c>
      <c r="AC18" s="312">
        <f>IF($B18=0,"",SUMIFS(INPUT_DATA!AB:AB,INPUT_DATA!$A:$A,$B18,INPUT_DATA!$C:$C,"S"))</f>
        <v>0</v>
      </c>
      <c r="AD18" s="312">
        <f>IF($B18=0,"",SUMIFS(INPUT_DATA!AC:AC,INPUT_DATA!$A:$A,$B18,INPUT_DATA!$C:$C,"S"))</f>
        <v>0</v>
      </c>
      <c r="AE18" s="312">
        <f>IF($B18=0,"",SUMIFS(INPUT_DATA!AD:AD,INPUT_DATA!$A:$A,$B18,INPUT_DATA!$C:$C,"S"))</f>
        <v>0</v>
      </c>
      <c r="AF18" s="312">
        <f>IF($B18=0,"",SUMIFS(INPUT_DATA!AE:AE,INPUT_DATA!$A:$A,$B18,INPUT_DATA!$C:$C,"S"))</f>
        <v>0</v>
      </c>
      <c r="AG18" s="312">
        <f>IF($B18=0,"",SUMIFS(INPUT_DATA!AF:AF,INPUT_DATA!$A:$A,$B18,INPUT_DATA!$C:$C,"S"))</f>
        <v>0</v>
      </c>
      <c r="AH18" s="312">
        <f>IF($B18=0,"",SUMIFS(INPUT_DATA!AG:AG,INPUT_DATA!$A:$A,$B18,INPUT_DATA!$C:$C,"S"))</f>
        <v>0</v>
      </c>
      <c r="AI18" s="312">
        <f>IF($B18=0,"",SUMIFS(INPUT_DATA!AH:AH,INPUT_DATA!$A:$A,$B18,INPUT_DATA!$C:$C,"S"))</f>
        <v>0</v>
      </c>
      <c r="AJ18" s="312">
        <f>IF($B18=0,"",SUMIFS(INPUT_DATA!AI:AI,INPUT_DATA!$A:$A,$B18,INPUT_DATA!$C:$C,"S"))</f>
        <v>0</v>
      </c>
      <c r="AK18" s="312">
        <f>IF($B18=0,"",SUMIFS(INPUT_DATA!AJ:AJ,INPUT_DATA!$A:$A,$B18,INPUT_DATA!$C:$C,"S"))</f>
        <v>0</v>
      </c>
      <c r="AL18" s="312">
        <f>IF($B18=0,"",SUMIFS(INPUT_DATA!AK:AK,INPUT_DATA!$A:$A,$B18,INPUT_DATA!$C:$C,"S"))</f>
        <v>0</v>
      </c>
      <c r="AM18" s="312">
        <f>IF($B18=0,"",SUMIFS(INPUT_DATA!AL:AL,INPUT_DATA!$A:$A,$B18,INPUT_DATA!$C:$C,"S"))</f>
        <v>0</v>
      </c>
      <c r="AN18" s="312">
        <f>IF($B18=0,"",SUMIFS(INPUT_DATA!AM:AM,INPUT_DATA!$A:$A,$B18,INPUT_DATA!$C:$C,"S"))</f>
        <v>0</v>
      </c>
      <c r="AO18" s="312">
        <f>IF($B18=0,"",SUMIFS(INPUT_DATA!AN:AN,INPUT_DATA!$A:$A,$B18,INPUT_DATA!$C:$C,"S"))</f>
        <v>0</v>
      </c>
      <c r="AP18" s="312">
        <f>IF($B18=0,"",SUMIFS(INPUT_DATA!AO:AO,INPUT_DATA!$A:$A,$B18,INPUT_DATA!$C:$C,"S"))</f>
        <v>0</v>
      </c>
      <c r="AQ18" s="312">
        <f>IF($B18=0,"",SUMIFS(INPUT_DATA!AP:AP,INPUT_DATA!$A:$A,$B18,INPUT_DATA!$C:$C,"S"))</f>
        <v>0</v>
      </c>
      <c r="AR18" s="312">
        <f>IF($B18=0,"",SUMIFS(INPUT_DATA!AQ:AQ,INPUT_DATA!$A:$A,$B18,INPUT_DATA!$C:$C,"S"))</f>
        <v>0</v>
      </c>
      <c r="AS18" s="1034">
        <f t="shared" si="2"/>
        <v>65309.62000000001</v>
      </c>
      <c r="AT18" s="1035">
        <f t="shared" si="3"/>
        <v>3102.2099999999991</v>
      </c>
      <c r="AU18" s="1036">
        <f t="shared" si="4"/>
        <v>0</v>
      </c>
      <c r="AV18" s="1034">
        <f>IF($B18=0,"",SUMIFS(INPUT_DATA!AR:AR,INPUT_DATA!$A:$A,$B18,INPUT_DATA!$C:$C,"S"))</f>
        <v>65309.620000000024</v>
      </c>
      <c r="AW18" s="1035">
        <f>IF($B18=0,"",SUMIFS(INPUT_DATA!AS:AS,INPUT_DATA!$A:$A,$B18,INPUT_DATA!$C:$C,"S"))</f>
        <v>3102.21</v>
      </c>
      <c r="AX18" s="1036">
        <f>IF($B18=0,"",SUMIFS(INPUT_DATA!AT:AT,INPUT_DATA!$A:$A,$B18,INPUT_DATA!$C:$C,"S"))</f>
        <v>0</v>
      </c>
      <c r="AY18" s="1034">
        <f>IF($B18=0,"",AS18-AV18)</f>
        <v>-1.4551915228366852E-11</v>
      </c>
      <c r="AZ18" s="1035">
        <f t="shared" ref="AZ18" si="9">IF($B18=0,"",AT18-AW18)</f>
        <v>-9.0949470177292824E-13</v>
      </c>
      <c r="BA18" s="1036">
        <f t="shared" ref="BA18" si="10">IF($B18=0,"",AU18-AX18)</f>
        <v>0</v>
      </c>
      <c r="BB18" s="150"/>
      <c r="BC18" s="1031">
        <f>IF($B18=0,"",SUMIFS(INPUT_DATA!D:D,INPUT_DATA!$A:$A,$B18,INPUT_DATA!$C:$C,"D"))</f>
        <v>0</v>
      </c>
      <c r="BD18" s="311">
        <f>IF($B18=0,"",SUMIFS(INPUT_DATA!F:F,INPUT_DATA!$A:$A,$B18,INPUT_DATA!$C:$C,"D"))</f>
        <v>0</v>
      </c>
      <c r="BE18" s="311">
        <f>IF($B18=0,"",SUMIFS(INPUT_DATA!G:G,INPUT_DATA!$A:$A,$B18,INPUT_DATA!$C:$C,"D"))</f>
        <v>0</v>
      </c>
      <c r="BF18" s="311">
        <f>IF($B18=0,"",SUMIFS(INPUT_DATA!H:H,INPUT_DATA!$A:$A,$B18,INPUT_DATA!$C:$C,"D"))</f>
        <v>0</v>
      </c>
      <c r="BG18" s="311">
        <f>IF($B18=0,"",SUMIFS(INPUT_DATA!I:I,INPUT_DATA!$A:$A,$B18,INPUT_DATA!$C:$C,"D"))</f>
        <v>0</v>
      </c>
      <c r="BH18" s="311">
        <f>IF($B18=0,"",SUMIFS(INPUT_DATA!J:J,INPUT_DATA!$A:$A,$B18,INPUT_DATA!$C:$C,"D"))</f>
        <v>0</v>
      </c>
      <c r="BI18" s="311">
        <f>IF($B18=0,"",SUMIFS(INPUT_DATA!K:K,INPUT_DATA!$A:$A,$B18,INPUT_DATA!$C:$C,"D"))</f>
        <v>0</v>
      </c>
      <c r="BJ18" s="311">
        <f>IF($B18=0,"",SUMIFS(INPUT_DATA!L:L,INPUT_DATA!$A:$A,$B18,INPUT_DATA!$C:$C,"D"))</f>
        <v>0</v>
      </c>
      <c r="BK18" s="311">
        <f>IF($B18=0,"",SUMIFS(INPUT_DATA!M:M,INPUT_DATA!$A:$A,$B18,INPUT_DATA!$C:$C,"D"))</f>
        <v>0</v>
      </c>
      <c r="BL18" s="311">
        <f>IF($B18=0,"",SUMIFS(INPUT_DATA!N:N,INPUT_DATA!$A:$A,$B18,INPUT_DATA!$C:$C,"D"))</f>
        <v>0</v>
      </c>
      <c r="BM18" s="311">
        <f>IF($B18=0,"",SUMIFS(INPUT_DATA!O:O,INPUT_DATA!$A:$A,$B18,INPUT_DATA!$C:$C,"D"))</f>
        <v>0</v>
      </c>
      <c r="BN18" s="1037">
        <f>IF($B18=0,"",BC18-BD18-BE18+BF18+BG18+BH18-BI18+BJ18-BK18-BL18-BM18)</f>
        <v>0</v>
      </c>
      <c r="BO18" s="1037">
        <f>IF($B18=0,"",SUMIFS(INPUT_DATA!O:O,INPUT_DATA!$A:$A,$B18,INPUT_DATA!$C:$C,"D"))</f>
        <v>0</v>
      </c>
      <c r="BP18" s="1037">
        <f>IF($B18=0,"",BN18-BO18)</f>
        <v>0</v>
      </c>
      <c r="BQ18" s="1031">
        <f>IF($B18=0,"",SUMIFS(INPUT_DATA!Q:Q,INPUT_DATA!$A:$A,$B18,INPUT_DATA!$C:$C,"D"))</f>
        <v>3272.83</v>
      </c>
      <c r="BR18" s="1038">
        <f>IF($B18=0,"",SUMIFS(INPUT_DATA!R:R,INPUT_DATA!$A:$A,$B18,INPUT_DATA!$C:$C,"D"))</f>
        <v>0</v>
      </c>
      <c r="BS18" s="1038">
        <f>IF($B18=0,"",SUMIFS(INPUT_DATA!S:S,INPUT_DATA!$A:$A,$B18,INPUT_DATA!$C:$C,"D"))</f>
        <v>0</v>
      </c>
      <c r="BT18" s="311">
        <f>IF($B18=0,"",SUMIFS(INPUT_DATA!T:T,INPUT_DATA!$A:$A,$B18,INPUT_DATA!$C:$C,"D"))</f>
        <v>0</v>
      </c>
      <c r="BU18" s="311">
        <f>IF($B18=0,"",SUMIFS(INPUT_DATA!U:U,INPUT_DATA!$A:$A,$B18,INPUT_DATA!$C:$C,"D"))</f>
        <v>0</v>
      </c>
      <c r="BV18" s="311">
        <f>IF($B18=0,"",SUMIFS(INPUT_DATA!V:V,INPUT_DATA!$A:$A,$B18,INPUT_DATA!$C:$C,"D"))</f>
        <v>0</v>
      </c>
      <c r="BW18" s="311">
        <f>IF($B18=0,"",SUMIFS(INPUT_DATA!W:W,INPUT_DATA!$A:$A,$B18,INPUT_DATA!$C:$C,"D"))</f>
        <v>0</v>
      </c>
      <c r="BX18" s="311">
        <f>IF($B18=0,"",SUMIFS(INPUT_DATA!X:X,INPUT_DATA!$A:$A,$B18,INPUT_DATA!$C:$C,"D"))</f>
        <v>0</v>
      </c>
      <c r="BY18" s="311">
        <f>IF($B18=0,"",SUMIFS(INPUT_DATA!Y:Y,INPUT_DATA!$A:$A,$B18,INPUT_DATA!$C:$C,"D"))</f>
        <v>0</v>
      </c>
      <c r="BZ18" s="352">
        <f>IF($B18=0,"",SUMIFS(INPUT_DATA!Z:Z,INPUT_DATA!$A:$A,$B18,INPUT_DATA!$C:$C,"D"))</f>
        <v>0</v>
      </c>
      <c r="CA18" s="352">
        <f>IF($B18=0,"",SUMIFS(INPUT_DATA!AA:AA,INPUT_DATA!$A:$A,$B18,INPUT_DATA!$C:$C,"D"))</f>
        <v>0</v>
      </c>
      <c r="CB18" s="352">
        <f>IF($B18=0,"",SUMIFS(INPUT_DATA!AB:AB,INPUT_DATA!$A:$A,$B18,INPUT_DATA!$C:$C,"D"))</f>
        <v>0</v>
      </c>
      <c r="CC18" s="311">
        <f>IF($B18=0,"",SUMIFS(INPUT_DATA!AC:AC,INPUT_DATA!$A:$A,$B18,INPUT_DATA!$C:$C,"D"))</f>
        <v>0</v>
      </c>
      <c r="CD18" s="311">
        <f>IF($B18=0,"",SUMIFS(INPUT_DATA!AD:AD,INPUT_DATA!$A:$A,$B18,INPUT_DATA!$C:$C,"D"))</f>
        <v>0</v>
      </c>
      <c r="CE18" s="311">
        <f>IF($B18=0,"",SUMIFS(INPUT_DATA!AE:AE,INPUT_DATA!$A:$A,$B18,INPUT_DATA!$C:$C,"D"))</f>
        <v>0</v>
      </c>
      <c r="CF18" s="352">
        <f>IF($B18=0,"",SUMIFS(INPUT_DATA!AF:AF,INPUT_DATA!$A:$A,$B18,INPUT_DATA!$C:$C,"D"))</f>
        <v>0</v>
      </c>
      <c r="CG18" s="352">
        <f>IF($B18=0,"",SUMIFS(INPUT_DATA!AG:AG,INPUT_DATA!$A:$A,$B18,INPUT_DATA!$C:$C,"D"))</f>
        <v>0</v>
      </c>
      <c r="CH18" s="352">
        <f>IF($B18=0,"",SUMIFS(INPUT_DATA!AH:AH,INPUT_DATA!$A:$A,$B18,INPUT_DATA!$C:$C,"D"))</f>
        <v>0</v>
      </c>
      <c r="CI18" s="153">
        <f>IF($B18=0,"",SUMIFS(INPUT_DATA!AI:AI,INPUT_DATA!$A:$A,$B18,INPUT_DATA!$C:$C,"D"))</f>
        <v>0</v>
      </c>
      <c r="CJ18" s="153">
        <f>IF($B18=0,"",SUMIFS(INPUT_DATA!AJ:AJ,INPUT_DATA!$A:$A,$B18,INPUT_DATA!$C:$C,"D"))</f>
        <v>0</v>
      </c>
      <c r="CK18" s="153">
        <f>IF($B18=0,"",SUMIFS(INPUT_DATA!AK:AK,INPUT_DATA!$A:$A,$B18,INPUT_DATA!$C:$C,"D"))</f>
        <v>0</v>
      </c>
      <c r="CL18" s="153">
        <f>IF($B18=0,"",SUMIFS(INPUT_DATA!AL:AL,INPUT_DATA!$A:$A,$B18,INPUT_DATA!$C:$C,"D"))</f>
        <v>0</v>
      </c>
      <c r="CM18" s="153">
        <f>IF($B18=0,"",SUMIFS(INPUT_DATA!AM:AM,INPUT_DATA!$A:$A,$B18,INPUT_DATA!$C:$C,"D"))</f>
        <v>0</v>
      </c>
      <c r="CN18" s="153">
        <f>IF($B18=0,"",SUMIFS(INPUT_DATA!AN:AN,INPUT_DATA!$A:$A,$B18,INPUT_DATA!$C:$C,"D"))</f>
        <v>0</v>
      </c>
      <c r="CO18" s="153">
        <f>IF($B18=0,"",SUMIFS(INPUT_DATA!AO:AO,INPUT_DATA!$A:$A,$B18,INPUT_DATA!$C:$C,"D"))</f>
        <v>0</v>
      </c>
      <c r="CP18" s="153">
        <f>IF($B18=0,"",SUMIFS(INPUT_DATA!AP:AP,INPUT_DATA!$A:$A,$B18,INPUT_DATA!$C:$C,"D"))</f>
        <v>0</v>
      </c>
      <c r="CQ18" s="153">
        <f>IF($B18=0,"",SUMIFS(INPUT_DATA!AQ:AQ,INPUT_DATA!$A:$A,$B18,INPUT_DATA!$C:$C,"D"))</f>
        <v>0</v>
      </c>
      <c r="CR18" s="1035">
        <f>IF($B18=0,"",BQ18+BT18-BW18-BZ18-CC18+CF18-CI18-CL18-CO18)</f>
        <v>3272.83</v>
      </c>
      <c r="CS18" s="1035">
        <f t="shared" ref="CS18" si="11">IF($B18=0,"",BR18+BU18-BX18-CA18-CD18+CG18-CJ18-CM18-CP18)</f>
        <v>0</v>
      </c>
      <c r="CT18" s="1035">
        <f t="shared" ref="CT18" si="12">IF($B18=0,"",BS18+BV18-BY18-CB18-CE18+CH18-CK18-CN18-CQ18)</f>
        <v>0</v>
      </c>
      <c r="CU18" s="366">
        <f>IF($B18=0,"",SUMIFS(INPUT_DATA!AR:AR,INPUT_DATA!$A:$A,$B18,INPUT_DATA!$C:$C,"D"))</f>
        <v>3272.83</v>
      </c>
      <c r="CV18" s="366">
        <f>IF($B18=0,"",SUMIFS(INPUT_DATA!AS:AS,INPUT_DATA!$A:$A,$B18,INPUT_DATA!$C:$C,"D"))</f>
        <v>0</v>
      </c>
      <c r="CW18" s="366">
        <f>IF($B18=0,"",SUMIFS(INPUT_DATA!AT:AT,INPUT_DATA!$A:$A,$B18,INPUT_DATA!$C:$C,"D"))</f>
        <v>0</v>
      </c>
      <c r="CX18" s="366">
        <f>IF($B18=0,"",CR18-CU18)</f>
        <v>0</v>
      </c>
      <c r="CY18" s="1035">
        <f t="shared" ref="CY18" si="13">IF($B18=0,"",CS18-CV18)</f>
        <v>0</v>
      </c>
      <c r="CZ18" s="1039">
        <f t="shared" ref="CZ18" si="14">IF($B18=0,"",CT18-CW18)</f>
        <v>0</v>
      </c>
      <c r="DA18" s="150"/>
    </row>
    <row r="19" spans="2:105" x14ac:dyDescent="0.2">
      <c r="B19" s="720">
        <f>INPUT_DATA!BQ6</f>
        <v>45504</v>
      </c>
      <c r="C19" s="1031">
        <f>IF($B19=0,"",SUMIFS(INPUT_DATA!D:D,INPUT_DATA!$A:$A,$B19,INPUT_DATA!$C:$C,"S"))</f>
        <v>701287262.86999977</v>
      </c>
      <c r="D19" s="366">
        <f>IF($B19=0,"",SUMIFS(INPUT_DATA!E:E,INPUT_DATA!$A:$A,$B19,INPUT_DATA!$C:$C,"S"))</f>
        <v>0</v>
      </c>
      <c r="E19" s="153">
        <f>IF($B19=0,"",SUMIFS(INPUT_DATA!F:F,INPUT_DATA!$A:$A,$B19,INPUT_DATA!$C:$C,"S"))</f>
        <v>4936030.2500000084</v>
      </c>
      <c r="F19" s="153">
        <f>IF($B19=0,"",SUMIFS(INPUT_DATA!G:G,INPUT_DATA!$A:$A,$B19,INPUT_DATA!$C:$C,"S"))</f>
        <v>917582.09000000008</v>
      </c>
      <c r="G19" s="153">
        <f>IF($B19=0,"",SUMIFS(INPUT_DATA!H:H,INPUT_DATA!$A:$A,$B19,INPUT_DATA!$C:$C,"S"))</f>
        <v>0</v>
      </c>
      <c r="H19" s="153">
        <f>IF($B19=0,"",SUMIFS(INPUT_DATA!I:I,INPUT_DATA!$A:$A,$B19,INPUT_DATA!$C:$C,"S"))</f>
        <v>250.37</v>
      </c>
      <c r="I19" s="153">
        <f>IF($B19=0,"",SUMIFS(INPUT_DATA!J:J,INPUT_DATA!$A:$A,$B19,INPUT_DATA!$C:$C,"S"))</f>
        <v>0</v>
      </c>
      <c r="J19" s="153">
        <f>IF($B19=0,"",SUMIFS(INPUT_DATA!K:K,INPUT_DATA!$A:$A,$B19,INPUT_DATA!$C:$C,"S"))</f>
        <v>0</v>
      </c>
      <c r="K19" s="153">
        <f>IF($B19=0,"",SUMIFS(INPUT_DATA!L:L,INPUT_DATA!$A:$A,$B19,INPUT_DATA!$C:$C,"S"))</f>
        <v>0</v>
      </c>
      <c r="L19" s="153">
        <f>IF($B19=0,"",SUMIFS(INPUT_DATA!M:M,INPUT_DATA!$A:$A,$B19,INPUT_DATA!$C:$C,"S"))</f>
        <v>0</v>
      </c>
      <c r="M19" s="153">
        <f>IF($B19=0,"",SUMIFS(INPUT_DATA!N:N,INPUT_DATA!$A:$A,$B19,INPUT_DATA!$C:$C,"S"))</f>
        <v>0</v>
      </c>
      <c r="N19" s="153">
        <f>IF($B19=0,"",SUMIFS(INPUT_DATA!O:O,INPUT_DATA!$A:$A,$B19,INPUT_DATA!$C:$C,"S"))</f>
        <v>0</v>
      </c>
      <c r="O19" s="1032">
        <f t="shared" si="0"/>
        <v>695433900.89999974</v>
      </c>
      <c r="P19" s="1033">
        <f>IF($B19=0,"",SUMIFS(INPUT_DATA!P:P,INPUT_DATA!$A:$A,$B19,INPUT_DATA!$C:$C,"S"))</f>
        <v>695433900.90000021</v>
      </c>
      <c r="Q19" s="1033">
        <f t="shared" si="1"/>
        <v>-4.76837158203125E-7</v>
      </c>
      <c r="R19" s="312">
        <f>IF($B19=0,"",SUMIFS(INPUT_DATA!Q:Q,INPUT_DATA!$A:$A,$B19,INPUT_DATA!$C:$C,"S"))</f>
        <v>104466.44</v>
      </c>
      <c r="S19" s="312">
        <f>IF($B19=0,"",SUMIFS(INPUT_DATA!R:R,INPUT_DATA!$A:$A,$B19,INPUT_DATA!$C:$C,"S"))</f>
        <v>12795.280000000002</v>
      </c>
      <c r="T19" s="312">
        <f>IF($B19=0,"",SUMIFS(INPUT_DATA!S:S,INPUT_DATA!$A:$A,$B19,INPUT_DATA!$C:$C,"S"))</f>
        <v>0</v>
      </c>
      <c r="U19" s="312">
        <f>IF($B19=0,"",SUMIFS(INPUT_DATA!T:T,INPUT_DATA!$A:$A,$B19,INPUT_DATA!$C:$C,"S"))</f>
        <v>66126.87000000001</v>
      </c>
      <c r="V19" s="312">
        <f>IF($B19=0,"",SUMIFS(INPUT_DATA!U:U,INPUT_DATA!$A:$A,$B19,INPUT_DATA!$C:$C,"S"))</f>
        <v>9647.9500000000007</v>
      </c>
      <c r="W19" s="312">
        <f>IF($B19=0,"",SUMIFS(INPUT_DATA!V:V,INPUT_DATA!$A:$A,$B19,INPUT_DATA!$C:$C,"S"))</f>
        <v>0</v>
      </c>
      <c r="X19" s="312">
        <f>IF($B19=0,"",SUMIFS(INPUT_DATA!W:W,INPUT_DATA!$A:$A,$B19,INPUT_DATA!$C:$C,"S"))</f>
        <v>92195.04</v>
      </c>
      <c r="Y19" s="312">
        <f>IF($B19=0,"",SUMIFS(INPUT_DATA!X:X,INPUT_DATA!$A:$A,$B19,INPUT_DATA!$C:$C,"S"))</f>
        <v>11927.030000000002</v>
      </c>
      <c r="Z19" s="312">
        <f>IF($B19=0,"",SUMIFS(INPUT_DATA!Y:Y,INPUT_DATA!$A:$A,$B19,INPUT_DATA!$C:$C,"S"))</f>
        <v>0</v>
      </c>
      <c r="AA19" s="312">
        <f>IF($B19=0,"",SUMIFS(INPUT_DATA!Z:Z,INPUT_DATA!$A:$A,$B19,INPUT_DATA!$C:$C,"S"))</f>
        <v>0</v>
      </c>
      <c r="AB19" s="312">
        <f>IF($B19=0,"",SUMIFS(INPUT_DATA!AA:AA,INPUT_DATA!$A:$A,$B19,INPUT_DATA!$C:$C,"S"))</f>
        <v>0</v>
      </c>
      <c r="AC19" s="312">
        <f>IF($B19=0,"",SUMIFS(INPUT_DATA!AB:AB,INPUT_DATA!$A:$A,$B19,INPUT_DATA!$C:$C,"S"))</f>
        <v>0</v>
      </c>
      <c r="AD19" s="312">
        <f>IF($B19=0,"",SUMIFS(INPUT_DATA!AC:AC,INPUT_DATA!$A:$A,$B19,INPUT_DATA!$C:$C,"S"))</f>
        <v>0</v>
      </c>
      <c r="AE19" s="312">
        <f>IF($B19=0,"",SUMIFS(INPUT_DATA!AD:AD,INPUT_DATA!$A:$A,$B19,INPUT_DATA!$C:$C,"S"))</f>
        <v>0</v>
      </c>
      <c r="AF19" s="312">
        <f>IF($B19=0,"",SUMIFS(INPUT_DATA!AE:AE,INPUT_DATA!$A:$A,$B19,INPUT_DATA!$C:$C,"S"))</f>
        <v>0</v>
      </c>
      <c r="AG19" s="312">
        <f>IF($B19=0,"",SUMIFS(INPUT_DATA!AF:AF,INPUT_DATA!$A:$A,$B19,INPUT_DATA!$C:$C,"S"))</f>
        <v>3272.83</v>
      </c>
      <c r="AH19" s="312">
        <f>IF($B19=0,"",SUMIFS(INPUT_DATA!AG:AG,INPUT_DATA!$A:$A,$B19,INPUT_DATA!$C:$C,"S"))</f>
        <v>0</v>
      </c>
      <c r="AI19" s="312">
        <f>IF($B19=0,"",SUMIFS(INPUT_DATA!AH:AH,INPUT_DATA!$A:$A,$B19,INPUT_DATA!$C:$C,"S"))</f>
        <v>0</v>
      </c>
      <c r="AJ19" s="312">
        <f>IF($B19=0,"",SUMIFS(INPUT_DATA!AI:AI,INPUT_DATA!$A:$A,$B19,INPUT_DATA!$C:$C,"S"))</f>
        <v>0</v>
      </c>
      <c r="AK19" s="312">
        <f>IF($B19=0,"",SUMIFS(INPUT_DATA!AJ:AJ,INPUT_DATA!$A:$A,$B19,INPUT_DATA!$C:$C,"S"))</f>
        <v>0</v>
      </c>
      <c r="AL19" s="312">
        <f>IF($B19=0,"",SUMIFS(INPUT_DATA!AK:AK,INPUT_DATA!$A:$A,$B19,INPUT_DATA!$C:$C,"S"))</f>
        <v>0</v>
      </c>
      <c r="AM19" s="312">
        <f>IF($B19=0,"",SUMIFS(INPUT_DATA!AL:AL,INPUT_DATA!$A:$A,$B19,INPUT_DATA!$C:$C,"S"))</f>
        <v>0</v>
      </c>
      <c r="AN19" s="312">
        <f>IF($B19=0,"",SUMIFS(INPUT_DATA!AM:AM,INPUT_DATA!$A:$A,$B19,INPUT_DATA!$C:$C,"S"))</f>
        <v>0</v>
      </c>
      <c r="AO19" s="312">
        <f>IF($B19=0,"",SUMIFS(INPUT_DATA!AN:AN,INPUT_DATA!$A:$A,$B19,INPUT_DATA!$C:$C,"S"))</f>
        <v>0</v>
      </c>
      <c r="AP19" s="312">
        <f>IF($B19=0,"",SUMIFS(INPUT_DATA!AO:AO,INPUT_DATA!$A:$A,$B19,INPUT_DATA!$C:$C,"S"))</f>
        <v>0</v>
      </c>
      <c r="AQ19" s="312">
        <f>IF($B19=0,"",SUMIFS(INPUT_DATA!AP:AP,INPUT_DATA!$A:$A,$B19,INPUT_DATA!$C:$C,"S"))</f>
        <v>0</v>
      </c>
      <c r="AR19" s="312">
        <f>IF($B19=0,"",SUMIFS(INPUT_DATA!AQ:AQ,INPUT_DATA!$A:$A,$B19,INPUT_DATA!$C:$C,"S"))</f>
        <v>0</v>
      </c>
      <c r="AS19" s="1034">
        <f t="shared" si="2"/>
        <v>75125.440000000002</v>
      </c>
      <c r="AT19" s="1035">
        <f t="shared" si="3"/>
        <v>10516.2</v>
      </c>
      <c r="AU19" s="1036">
        <f t="shared" si="4"/>
        <v>0</v>
      </c>
      <c r="AV19" s="1034">
        <f>IF($B19=0,"",SUMIFS(INPUT_DATA!AR:AR,INPUT_DATA!$A:$A,$B19,INPUT_DATA!$C:$C,"S"))</f>
        <v>75125.440000000017</v>
      </c>
      <c r="AW19" s="1035">
        <f>IF($B19=0,"",SUMIFS(INPUT_DATA!AS:AS,INPUT_DATA!$A:$A,$B19,INPUT_DATA!$C:$C,"S"))</f>
        <v>10516.199999999999</v>
      </c>
      <c r="AX19" s="1036">
        <f>IF($B19=0,"",SUMIFS(INPUT_DATA!AT:AT,INPUT_DATA!$A:$A,$B19,INPUT_DATA!$C:$C,"S"))</f>
        <v>0</v>
      </c>
      <c r="AY19" s="1034">
        <f t="shared" ref="AY19:AY82" si="15">IF($B19=0,"",AS19-AV19)</f>
        <v>-1.4551915228366852E-11</v>
      </c>
      <c r="AZ19" s="1035">
        <f t="shared" ref="AZ19:AZ82" si="16">IF($B19=0,"",AT19-AW19)</f>
        <v>1.8189894035458565E-12</v>
      </c>
      <c r="BA19" s="1036">
        <f t="shared" ref="BA19:BA82" si="17">IF($B19=0,"",AU19-AX19)</f>
        <v>0</v>
      </c>
      <c r="BB19" s="150"/>
      <c r="BC19" s="1031">
        <f>IF($B19=0,"",SUMIFS(INPUT_DATA!D:D,INPUT_DATA!$A:$A,$B19,INPUT_DATA!$C:$C,"D"))</f>
        <v>0</v>
      </c>
      <c r="BD19" s="311">
        <f>IF($B19=0,"",SUMIFS(INPUT_DATA!F:F,INPUT_DATA!$A:$A,$B19,INPUT_DATA!$C:$C,"D"))</f>
        <v>0</v>
      </c>
      <c r="BE19" s="311">
        <f>IF($B19=0,"",SUMIFS(INPUT_DATA!G:G,INPUT_DATA!$A:$A,$B19,INPUT_DATA!$C:$C,"D"))</f>
        <v>0</v>
      </c>
      <c r="BF19" s="311">
        <f>IF($B19=0,"",SUMIFS(INPUT_DATA!H:H,INPUT_DATA!$A:$A,$B19,INPUT_DATA!$C:$C,"D"))</f>
        <v>0</v>
      </c>
      <c r="BG19" s="311">
        <f>IF($B19=0,"",SUMIFS(INPUT_DATA!I:I,INPUT_DATA!$A:$A,$B19,INPUT_DATA!$C:$C,"D"))</f>
        <v>0</v>
      </c>
      <c r="BH19" s="311">
        <f>IF($B19=0,"",SUMIFS(INPUT_DATA!J:J,INPUT_DATA!$A:$A,$B19,INPUT_DATA!$C:$C,"D"))</f>
        <v>0</v>
      </c>
      <c r="BI19" s="311">
        <f>IF($B19=0,"",SUMIFS(INPUT_DATA!K:K,INPUT_DATA!$A:$A,$B19,INPUT_DATA!$C:$C,"D"))</f>
        <v>0</v>
      </c>
      <c r="BJ19" s="311">
        <f>IF($B19=0,"",SUMIFS(INPUT_DATA!L:L,INPUT_DATA!$A:$A,$B19,INPUT_DATA!$C:$C,"D"))</f>
        <v>0</v>
      </c>
      <c r="BK19" s="311">
        <f>IF($B19=0,"",SUMIFS(INPUT_DATA!M:M,INPUT_DATA!$A:$A,$B19,INPUT_DATA!$C:$C,"D"))</f>
        <v>0</v>
      </c>
      <c r="BL19" s="311">
        <f>IF($B19=0,"",SUMIFS(INPUT_DATA!N:N,INPUT_DATA!$A:$A,$B19,INPUT_DATA!$C:$C,"D"))</f>
        <v>0</v>
      </c>
      <c r="BM19" s="311">
        <f>IF($B19=0,"",SUMIFS(INPUT_DATA!O:O,INPUT_DATA!$A:$A,$B19,INPUT_DATA!$C:$C,"D"))</f>
        <v>0</v>
      </c>
      <c r="BN19" s="1037">
        <f t="shared" ref="BN19:BN82" si="18">IF($B19=0,"",BC19-BD19-BE19+BF19+BG19+BH19-BI19+BJ19-BK19-BL19-BM19)</f>
        <v>0</v>
      </c>
      <c r="BO19" s="1037">
        <f>IF($B19=0,"",SUMIFS(INPUT_DATA!O:O,INPUT_DATA!$A:$A,$B19,INPUT_DATA!$C:$C,"D"))</f>
        <v>0</v>
      </c>
      <c r="BP19" s="1037">
        <f t="shared" ref="BP19:BP82" si="19">IF($B19=0,"",BN19-BO19)</f>
        <v>0</v>
      </c>
      <c r="BQ19" s="1031">
        <f>IF($B19=0,"",SUMIFS(INPUT_DATA!Q:Q,INPUT_DATA!$A:$A,$B19,INPUT_DATA!$C:$C,"D"))</f>
        <v>0</v>
      </c>
      <c r="BR19" s="1038">
        <f>IF($B19=0,"",SUMIFS(INPUT_DATA!R:R,INPUT_DATA!$A:$A,$B19,INPUT_DATA!$C:$C,"D"))</f>
        <v>0</v>
      </c>
      <c r="BS19" s="1038">
        <f>IF($B19=0,"",SUMIFS(INPUT_DATA!S:S,INPUT_DATA!$A:$A,$B19,INPUT_DATA!$C:$C,"D"))</f>
        <v>0</v>
      </c>
      <c r="BT19" s="311">
        <f>IF($B19=0,"",SUMIFS(INPUT_DATA!T:T,INPUT_DATA!$A:$A,$B19,INPUT_DATA!$C:$C,"D"))</f>
        <v>0</v>
      </c>
      <c r="BU19" s="311">
        <f>IF($B19=0,"",SUMIFS(INPUT_DATA!U:U,INPUT_DATA!$A:$A,$B19,INPUT_DATA!$C:$C,"D"))</f>
        <v>0</v>
      </c>
      <c r="BV19" s="311">
        <f>IF($B19=0,"",SUMIFS(INPUT_DATA!V:V,INPUT_DATA!$A:$A,$B19,INPUT_DATA!$C:$C,"D"))</f>
        <v>0</v>
      </c>
      <c r="BW19" s="311">
        <f>IF($B19=0,"",SUMIFS(INPUT_DATA!W:W,INPUT_DATA!$A:$A,$B19,INPUT_DATA!$C:$C,"D"))</f>
        <v>0</v>
      </c>
      <c r="BX19" s="311">
        <f>IF($B19=0,"",SUMIFS(INPUT_DATA!X:X,INPUT_DATA!$A:$A,$B19,INPUT_DATA!$C:$C,"D"))</f>
        <v>0</v>
      </c>
      <c r="BY19" s="311">
        <f>IF($B19=0,"",SUMIFS(INPUT_DATA!Y:Y,INPUT_DATA!$A:$A,$B19,INPUT_DATA!$C:$C,"D"))</f>
        <v>0</v>
      </c>
      <c r="BZ19" s="352">
        <f>IF($B19=0,"",SUMIFS(INPUT_DATA!Z:Z,INPUT_DATA!$A:$A,$B19,INPUT_DATA!$C:$C,"D"))</f>
        <v>0</v>
      </c>
      <c r="CA19" s="352">
        <f>IF($B19=0,"",SUMIFS(INPUT_DATA!AA:AA,INPUT_DATA!$A:$A,$B19,INPUT_DATA!$C:$C,"D"))</f>
        <v>0</v>
      </c>
      <c r="CB19" s="352">
        <f>IF($B19=0,"",SUMIFS(INPUT_DATA!AB:AB,INPUT_DATA!$A:$A,$B19,INPUT_DATA!$C:$C,"D"))</f>
        <v>0</v>
      </c>
      <c r="CC19" s="311">
        <f>IF($B19=0,"",SUMIFS(INPUT_DATA!AC:AC,INPUT_DATA!$A:$A,$B19,INPUT_DATA!$C:$C,"D"))</f>
        <v>0</v>
      </c>
      <c r="CD19" s="311">
        <f>IF($B19=0,"",SUMIFS(INPUT_DATA!AD:AD,INPUT_DATA!$A:$A,$B19,INPUT_DATA!$C:$C,"D"))</f>
        <v>0</v>
      </c>
      <c r="CE19" s="311">
        <f>IF($B19=0,"",SUMIFS(INPUT_DATA!AE:AE,INPUT_DATA!$A:$A,$B19,INPUT_DATA!$C:$C,"D"))</f>
        <v>0</v>
      </c>
      <c r="CF19" s="352">
        <f>IF($B19=0,"",SUMIFS(INPUT_DATA!AF:AF,INPUT_DATA!$A:$A,$B19,INPUT_DATA!$C:$C,"D"))</f>
        <v>3272.83</v>
      </c>
      <c r="CG19" s="352">
        <f>IF($B19=0,"",SUMIFS(INPUT_DATA!AG:AG,INPUT_DATA!$A:$A,$B19,INPUT_DATA!$C:$C,"D"))</f>
        <v>0</v>
      </c>
      <c r="CH19" s="352">
        <f>IF($B19=0,"",SUMIFS(INPUT_DATA!AH:AH,INPUT_DATA!$A:$A,$B19,INPUT_DATA!$C:$C,"D"))</f>
        <v>0</v>
      </c>
      <c r="CI19" s="153">
        <f>IF($B19=0,"",SUMIFS(INPUT_DATA!AI:AI,INPUT_DATA!$A:$A,$B19,INPUT_DATA!$C:$C,"D"))</f>
        <v>0</v>
      </c>
      <c r="CJ19" s="153">
        <f>IF($B19=0,"",SUMIFS(INPUT_DATA!AJ:AJ,INPUT_DATA!$A:$A,$B19,INPUT_DATA!$C:$C,"D"))</f>
        <v>0</v>
      </c>
      <c r="CK19" s="153">
        <f>IF($B19=0,"",SUMIFS(INPUT_DATA!AK:AK,INPUT_DATA!$A:$A,$B19,INPUT_DATA!$C:$C,"D"))</f>
        <v>0</v>
      </c>
      <c r="CL19" s="153">
        <f>IF($B19=0,"",SUMIFS(INPUT_DATA!AL:AL,INPUT_DATA!$A:$A,$B19,INPUT_DATA!$C:$C,"D"))</f>
        <v>0</v>
      </c>
      <c r="CM19" s="153">
        <f>IF($B19=0,"",SUMIFS(INPUT_DATA!AM:AM,INPUT_DATA!$A:$A,$B19,INPUT_DATA!$C:$C,"D"))</f>
        <v>0</v>
      </c>
      <c r="CN19" s="153">
        <f>IF($B19=0,"",SUMIFS(INPUT_DATA!AN:AN,INPUT_DATA!$A:$A,$B19,INPUT_DATA!$C:$C,"D"))</f>
        <v>0</v>
      </c>
      <c r="CO19" s="153">
        <f>IF($B19=0,"",SUMIFS(INPUT_DATA!AO:AO,INPUT_DATA!$A:$A,$B19,INPUT_DATA!$C:$C,"D"))</f>
        <v>0</v>
      </c>
      <c r="CP19" s="153">
        <f>IF($B19=0,"",SUMIFS(INPUT_DATA!AP:AP,INPUT_DATA!$A:$A,$B19,INPUT_DATA!$C:$C,"D"))</f>
        <v>0</v>
      </c>
      <c r="CQ19" s="153">
        <f>IF($B19=0,"",SUMIFS(INPUT_DATA!AQ:AQ,INPUT_DATA!$A:$A,$B19,INPUT_DATA!$C:$C,"D"))</f>
        <v>0</v>
      </c>
      <c r="CR19" s="1035">
        <f t="shared" ref="CR19:CR22" si="20">IF($B19=0,"",BQ19+BT19-BW19-BZ19-CC19+CF19-CI19-CL19-CO19)</f>
        <v>3272.83</v>
      </c>
      <c r="CS19" s="1035">
        <f t="shared" ref="CS19:CS22" si="21">IF($B19=0,"",BR19+BU19-BX19-CA19-CD19+CG19-CJ19-CM19-CP19)</f>
        <v>0</v>
      </c>
      <c r="CT19" s="1035">
        <f t="shared" ref="CT19:CT22" si="22">IF($B19=0,"",BS19+BV19-BY19-CB19-CE19+CH19-CK19-CN19-CQ19)</f>
        <v>0</v>
      </c>
      <c r="CU19" s="366">
        <f>IF($B19=0,"",SUMIFS(INPUT_DATA!AR:AR,INPUT_DATA!$A:$A,$B19,INPUT_DATA!$C:$C,"D"))</f>
        <v>3272.83</v>
      </c>
      <c r="CV19" s="366">
        <f>IF($B19=0,"",SUMIFS(INPUT_DATA!AS:AS,INPUT_DATA!$A:$A,$B19,INPUT_DATA!$C:$C,"D"))</f>
        <v>0</v>
      </c>
      <c r="CW19" s="366">
        <f>IF($B19=0,"",SUMIFS(INPUT_DATA!AT:AT,INPUT_DATA!$A:$A,$B19,INPUT_DATA!$C:$C,"D"))</f>
        <v>0</v>
      </c>
      <c r="CX19" s="366">
        <f t="shared" ref="CX19:CX22" si="23">IF($B19=0,"",CR19-CU19)</f>
        <v>0</v>
      </c>
      <c r="CY19" s="1035">
        <f t="shared" ref="CY19:CY22" si="24">IF($B19=0,"",CS19-CV19)</f>
        <v>0</v>
      </c>
      <c r="CZ19" s="1039">
        <f t="shared" ref="CZ19:CZ22" si="25">IF($B19=0,"",CT19-CW19)</f>
        <v>0</v>
      </c>
      <c r="DA19" s="150"/>
    </row>
    <row r="20" spans="2:105" x14ac:dyDescent="0.2">
      <c r="B20" s="720">
        <f>INPUT_DATA!BQ7</f>
        <v>45473</v>
      </c>
      <c r="C20" s="1031">
        <f>IF($B20=0,"",SUMIFS(INPUT_DATA!D:D,INPUT_DATA!$A:$A,$B20,INPUT_DATA!$C:$C,"S"))</f>
        <v>706842265.12000024</v>
      </c>
      <c r="D20" s="366">
        <f>IF($B20=0,"",SUMIFS(INPUT_DATA!E:E,INPUT_DATA!$A:$A,$B20,INPUT_DATA!$C:$C,"S"))</f>
        <v>0</v>
      </c>
      <c r="E20" s="153">
        <f>IF($B20=0,"",SUMIFS(INPUT_DATA!F:F,INPUT_DATA!$A:$A,$B20,INPUT_DATA!$C:$C,"S"))</f>
        <v>4887596.6399999978</v>
      </c>
      <c r="F20" s="153">
        <f>IF($B20=0,"",SUMIFS(INPUT_DATA!G:G,INPUT_DATA!$A:$A,$B20,INPUT_DATA!$C:$C,"S"))</f>
        <v>667655.79</v>
      </c>
      <c r="G20" s="153">
        <f>IF($B20=0,"",SUMIFS(INPUT_DATA!H:H,INPUT_DATA!$A:$A,$B20,INPUT_DATA!$C:$C,"S"))</f>
        <v>0</v>
      </c>
      <c r="H20" s="153">
        <f>IF($B20=0,"",SUMIFS(INPUT_DATA!I:I,INPUT_DATA!$A:$A,$B20,INPUT_DATA!$C:$C,"S"))</f>
        <v>250.18</v>
      </c>
      <c r="I20" s="153">
        <f>IF($B20=0,"",SUMIFS(INPUT_DATA!J:J,INPUT_DATA!$A:$A,$B20,INPUT_DATA!$C:$C,"S"))</f>
        <v>0</v>
      </c>
      <c r="J20" s="153">
        <f>IF($B20=0,"",SUMIFS(INPUT_DATA!K:K,INPUT_DATA!$A:$A,$B20,INPUT_DATA!$C:$C,"S"))</f>
        <v>0</v>
      </c>
      <c r="K20" s="153">
        <f>IF($B20=0,"",SUMIFS(INPUT_DATA!L:L,INPUT_DATA!$A:$A,$B20,INPUT_DATA!$C:$C,"S"))</f>
        <v>0</v>
      </c>
      <c r="L20" s="153">
        <f>IF($B20=0,"",SUMIFS(INPUT_DATA!M:M,INPUT_DATA!$A:$A,$B20,INPUT_DATA!$C:$C,"S"))</f>
        <v>0</v>
      </c>
      <c r="M20" s="153">
        <f>IF($B20=0,"",SUMIFS(INPUT_DATA!N:N,INPUT_DATA!$A:$A,$B20,INPUT_DATA!$C:$C,"S"))</f>
        <v>0</v>
      </c>
      <c r="N20" s="153">
        <f>IF($B20=0,"",SUMIFS(INPUT_DATA!O:O,INPUT_DATA!$A:$A,$B20,INPUT_DATA!$C:$C,"S"))</f>
        <v>0</v>
      </c>
      <c r="O20" s="1032">
        <f t="shared" si="0"/>
        <v>701287262.87000024</v>
      </c>
      <c r="P20" s="1033">
        <f>IF($B20=0,"",SUMIFS(INPUT_DATA!P:P,INPUT_DATA!$A:$A,$B20,INPUT_DATA!$C:$C,"S"))</f>
        <v>701287262.86999977</v>
      </c>
      <c r="Q20" s="1033">
        <f t="shared" si="1"/>
        <v>4.76837158203125E-7</v>
      </c>
      <c r="R20" s="312">
        <f>IF($B20=0,"",SUMIFS(INPUT_DATA!Q:Q,INPUT_DATA!$A:$A,$B20,INPUT_DATA!$C:$C,"S"))</f>
        <v>57532.390000000014</v>
      </c>
      <c r="S20" s="312">
        <f>IF($B20=0,"",SUMIFS(INPUT_DATA!R:R,INPUT_DATA!$A:$A,$B20,INPUT_DATA!$C:$C,"S"))</f>
        <v>7687.0799999999981</v>
      </c>
      <c r="T20" s="312">
        <f>IF($B20=0,"",SUMIFS(INPUT_DATA!S:S,INPUT_DATA!$A:$A,$B20,INPUT_DATA!$C:$C,"S"))</f>
        <v>0</v>
      </c>
      <c r="U20" s="312">
        <f>IF($B20=0,"",SUMIFS(INPUT_DATA!T:T,INPUT_DATA!$A:$A,$B20,INPUT_DATA!$C:$C,"S"))</f>
        <v>92567.569999999992</v>
      </c>
      <c r="V20" s="312">
        <f>IF($B20=0,"",SUMIFS(INPUT_DATA!U:U,INPUT_DATA!$A:$A,$B20,INPUT_DATA!$C:$C,"S"))</f>
        <v>12093.820000000002</v>
      </c>
      <c r="W20" s="312">
        <f>IF($B20=0,"",SUMIFS(INPUT_DATA!V:V,INPUT_DATA!$A:$A,$B20,INPUT_DATA!$C:$C,"S"))</f>
        <v>0</v>
      </c>
      <c r="X20" s="312">
        <f>IF($B20=0,"",SUMIFS(INPUT_DATA!W:W,INPUT_DATA!$A:$A,$B20,INPUT_DATA!$C:$C,"S"))</f>
        <v>45633.520000000019</v>
      </c>
      <c r="Y20" s="312">
        <f>IF($B20=0,"",SUMIFS(INPUT_DATA!X:X,INPUT_DATA!$A:$A,$B20,INPUT_DATA!$C:$C,"S"))</f>
        <v>6985.619999999999</v>
      </c>
      <c r="Z20" s="312">
        <f>IF($B20=0,"",SUMIFS(INPUT_DATA!Y:Y,INPUT_DATA!$A:$A,$B20,INPUT_DATA!$C:$C,"S"))</f>
        <v>0</v>
      </c>
      <c r="AA20" s="312">
        <f>IF($B20=0,"",SUMIFS(INPUT_DATA!Z:Z,INPUT_DATA!$A:$A,$B20,INPUT_DATA!$C:$C,"S"))</f>
        <v>0</v>
      </c>
      <c r="AB20" s="312">
        <f>IF($B20=0,"",SUMIFS(INPUT_DATA!AA:AA,INPUT_DATA!$A:$A,$B20,INPUT_DATA!$C:$C,"S"))</f>
        <v>0</v>
      </c>
      <c r="AC20" s="312">
        <f>IF($B20=0,"",SUMIFS(INPUT_DATA!AB:AB,INPUT_DATA!$A:$A,$B20,INPUT_DATA!$C:$C,"S"))</f>
        <v>0</v>
      </c>
      <c r="AD20" s="312">
        <f>IF($B20=0,"",SUMIFS(INPUT_DATA!AC:AC,INPUT_DATA!$A:$A,$B20,INPUT_DATA!$C:$C,"S"))</f>
        <v>0</v>
      </c>
      <c r="AE20" s="312">
        <f>IF($B20=0,"",SUMIFS(INPUT_DATA!AD:AD,INPUT_DATA!$A:$A,$B20,INPUT_DATA!$C:$C,"S"))</f>
        <v>0</v>
      </c>
      <c r="AF20" s="312">
        <f>IF($B20=0,"",SUMIFS(INPUT_DATA!AE:AE,INPUT_DATA!$A:$A,$B20,INPUT_DATA!$C:$C,"S"))</f>
        <v>0</v>
      </c>
      <c r="AG20" s="312">
        <f>IF($B20=0,"",SUMIFS(INPUT_DATA!AF:AF,INPUT_DATA!$A:$A,$B20,INPUT_DATA!$C:$C,"S"))</f>
        <v>0</v>
      </c>
      <c r="AH20" s="312">
        <f>IF($B20=0,"",SUMIFS(INPUT_DATA!AG:AG,INPUT_DATA!$A:$A,$B20,INPUT_DATA!$C:$C,"S"))</f>
        <v>0</v>
      </c>
      <c r="AI20" s="312">
        <f>IF($B20=0,"",SUMIFS(INPUT_DATA!AH:AH,INPUT_DATA!$A:$A,$B20,INPUT_DATA!$C:$C,"S"))</f>
        <v>0</v>
      </c>
      <c r="AJ20" s="312">
        <f>IF($B20=0,"",SUMIFS(INPUT_DATA!AI:AI,INPUT_DATA!$A:$A,$B20,INPUT_DATA!$C:$C,"S"))</f>
        <v>0</v>
      </c>
      <c r="AK20" s="312">
        <f>IF($B20=0,"",SUMIFS(INPUT_DATA!AJ:AJ,INPUT_DATA!$A:$A,$B20,INPUT_DATA!$C:$C,"S"))</f>
        <v>0</v>
      </c>
      <c r="AL20" s="312">
        <f>IF($B20=0,"",SUMIFS(INPUT_DATA!AK:AK,INPUT_DATA!$A:$A,$B20,INPUT_DATA!$C:$C,"S"))</f>
        <v>0</v>
      </c>
      <c r="AM20" s="312">
        <f>IF($B20=0,"",SUMIFS(INPUT_DATA!AL:AL,INPUT_DATA!$A:$A,$B20,INPUT_DATA!$C:$C,"S"))</f>
        <v>0</v>
      </c>
      <c r="AN20" s="312">
        <f>IF($B20=0,"",SUMIFS(INPUT_DATA!AM:AM,INPUT_DATA!$A:$A,$B20,INPUT_DATA!$C:$C,"S"))</f>
        <v>0</v>
      </c>
      <c r="AO20" s="312">
        <f>IF($B20=0,"",SUMIFS(INPUT_DATA!AN:AN,INPUT_DATA!$A:$A,$B20,INPUT_DATA!$C:$C,"S"))</f>
        <v>0</v>
      </c>
      <c r="AP20" s="312">
        <f>IF($B20=0,"",SUMIFS(INPUT_DATA!AO:AO,INPUT_DATA!$A:$A,$B20,INPUT_DATA!$C:$C,"S"))</f>
        <v>0</v>
      </c>
      <c r="AQ20" s="312">
        <f>IF($B20=0,"",SUMIFS(INPUT_DATA!AP:AP,INPUT_DATA!$A:$A,$B20,INPUT_DATA!$C:$C,"S"))</f>
        <v>0</v>
      </c>
      <c r="AR20" s="312">
        <f>IF($B20=0,"",SUMIFS(INPUT_DATA!AQ:AQ,INPUT_DATA!$A:$A,$B20,INPUT_DATA!$C:$C,"S"))</f>
        <v>0</v>
      </c>
      <c r="AS20" s="1034">
        <f t="shared" si="2"/>
        <v>104466.44</v>
      </c>
      <c r="AT20" s="1035">
        <f t="shared" si="3"/>
        <v>12795.280000000002</v>
      </c>
      <c r="AU20" s="1036">
        <f t="shared" si="4"/>
        <v>0</v>
      </c>
      <c r="AV20" s="1034">
        <f>IF($B20=0,"",SUMIFS(INPUT_DATA!AR:AR,INPUT_DATA!$A:$A,$B20,INPUT_DATA!$C:$C,"S"))</f>
        <v>104466.44</v>
      </c>
      <c r="AW20" s="1035">
        <f>IF($B20=0,"",SUMIFS(INPUT_DATA!AS:AS,INPUT_DATA!$A:$A,$B20,INPUT_DATA!$C:$C,"S"))</f>
        <v>12795.280000000002</v>
      </c>
      <c r="AX20" s="1036">
        <f>IF($B20=0,"",SUMIFS(INPUT_DATA!AT:AT,INPUT_DATA!$A:$A,$B20,INPUT_DATA!$C:$C,"S"))</f>
        <v>0</v>
      </c>
      <c r="AY20" s="1034">
        <f t="shared" si="15"/>
        <v>0</v>
      </c>
      <c r="AZ20" s="1035">
        <f t="shared" si="16"/>
        <v>0</v>
      </c>
      <c r="BA20" s="1036">
        <f t="shared" si="17"/>
        <v>0</v>
      </c>
      <c r="BB20" s="150"/>
      <c r="BC20" s="1031">
        <f>IF($B20=0,"",SUMIFS(INPUT_DATA!D:D,INPUT_DATA!$A:$A,$B20,INPUT_DATA!$C:$C,"D"))</f>
        <v>0</v>
      </c>
      <c r="BD20" s="311">
        <f>IF($B20=0,"",SUMIFS(INPUT_DATA!F:F,INPUT_DATA!$A:$A,$B20,INPUT_DATA!$C:$C,"D"))</f>
        <v>0</v>
      </c>
      <c r="BE20" s="311">
        <f>IF($B20=0,"",SUMIFS(INPUT_DATA!G:G,INPUT_DATA!$A:$A,$B20,INPUT_DATA!$C:$C,"D"))</f>
        <v>0</v>
      </c>
      <c r="BF20" s="311">
        <f>IF($B20=0,"",SUMIFS(INPUT_DATA!H:H,INPUT_DATA!$A:$A,$B20,INPUT_DATA!$C:$C,"D"))</f>
        <v>0</v>
      </c>
      <c r="BG20" s="311">
        <f>IF($B20=0,"",SUMIFS(INPUT_DATA!I:I,INPUT_DATA!$A:$A,$B20,INPUT_DATA!$C:$C,"D"))</f>
        <v>0</v>
      </c>
      <c r="BH20" s="311">
        <f>IF($B20=0,"",SUMIFS(INPUT_DATA!J:J,INPUT_DATA!$A:$A,$B20,INPUT_DATA!$C:$C,"D"))</f>
        <v>0</v>
      </c>
      <c r="BI20" s="311">
        <f>IF($B20=0,"",SUMIFS(INPUT_DATA!K:K,INPUT_DATA!$A:$A,$B20,INPUT_DATA!$C:$C,"D"))</f>
        <v>0</v>
      </c>
      <c r="BJ20" s="311">
        <f>IF($B20=0,"",SUMIFS(INPUT_DATA!L:L,INPUT_DATA!$A:$A,$B20,INPUT_DATA!$C:$C,"D"))</f>
        <v>0</v>
      </c>
      <c r="BK20" s="311">
        <f>IF($B20=0,"",SUMIFS(INPUT_DATA!M:M,INPUT_DATA!$A:$A,$B20,INPUT_DATA!$C:$C,"D"))</f>
        <v>0</v>
      </c>
      <c r="BL20" s="311">
        <f>IF($B20=0,"",SUMIFS(INPUT_DATA!N:N,INPUT_DATA!$A:$A,$B20,INPUT_DATA!$C:$C,"D"))</f>
        <v>0</v>
      </c>
      <c r="BM20" s="311">
        <f>IF($B20=0,"",SUMIFS(INPUT_DATA!O:O,INPUT_DATA!$A:$A,$B20,INPUT_DATA!$C:$C,"D"))</f>
        <v>0</v>
      </c>
      <c r="BN20" s="1037">
        <f t="shared" si="18"/>
        <v>0</v>
      </c>
      <c r="BO20" s="1037">
        <f>IF($B20=0,"",SUMIFS(INPUT_DATA!O:O,INPUT_DATA!$A:$A,$B20,INPUT_DATA!$C:$C,"D"))</f>
        <v>0</v>
      </c>
      <c r="BP20" s="1037">
        <f t="shared" si="19"/>
        <v>0</v>
      </c>
      <c r="BQ20" s="1031">
        <f>IF($B20=0,"",SUMIFS(INPUT_DATA!Q:Q,INPUT_DATA!$A:$A,$B20,INPUT_DATA!$C:$C,"D"))</f>
        <v>0</v>
      </c>
      <c r="BR20" s="1038">
        <f>IF($B20=0,"",SUMIFS(INPUT_DATA!R:R,INPUT_DATA!$A:$A,$B20,INPUT_DATA!$C:$C,"D"))</f>
        <v>0</v>
      </c>
      <c r="BS20" s="1038">
        <f>IF($B20=0,"",SUMIFS(INPUT_DATA!S:S,INPUT_DATA!$A:$A,$B20,INPUT_DATA!$C:$C,"D"))</f>
        <v>0</v>
      </c>
      <c r="BT20" s="311">
        <f>IF($B20=0,"",SUMIFS(INPUT_DATA!T:T,INPUT_DATA!$A:$A,$B20,INPUT_DATA!$C:$C,"D"))</f>
        <v>0</v>
      </c>
      <c r="BU20" s="311">
        <f>IF($B20=0,"",SUMIFS(INPUT_DATA!U:U,INPUT_DATA!$A:$A,$B20,INPUT_DATA!$C:$C,"D"))</f>
        <v>0</v>
      </c>
      <c r="BV20" s="311">
        <f>IF($B20=0,"",SUMIFS(INPUT_DATA!V:V,INPUT_DATA!$A:$A,$B20,INPUT_DATA!$C:$C,"D"))</f>
        <v>0</v>
      </c>
      <c r="BW20" s="311">
        <f>IF($B20=0,"",SUMIFS(INPUT_DATA!W:W,INPUT_DATA!$A:$A,$B20,INPUT_DATA!$C:$C,"D"))</f>
        <v>0</v>
      </c>
      <c r="BX20" s="311">
        <f>IF($B20=0,"",SUMIFS(INPUT_DATA!X:X,INPUT_DATA!$A:$A,$B20,INPUT_DATA!$C:$C,"D"))</f>
        <v>0</v>
      </c>
      <c r="BY20" s="311">
        <f>IF($B20=0,"",SUMIFS(INPUT_DATA!Y:Y,INPUT_DATA!$A:$A,$B20,INPUT_DATA!$C:$C,"D"))</f>
        <v>0</v>
      </c>
      <c r="BZ20" s="352">
        <f>IF($B20=0,"",SUMIFS(INPUT_DATA!Z:Z,INPUT_DATA!$A:$A,$B20,INPUT_DATA!$C:$C,"D"))</f>
        <v>0</v>
      </c>
      <c r="CA20" s="352">
        <f>IF($B20=0,"",SUMIFS(INPUT_DATA!AA:AA,INPUT_DATA!$A:$A,$B20,INPUT_DATA!$C:$C,"D"))</f>
        <v>0</v>
      </c>
      <c r="CB20" s="352">
        <f>IF($B20=0,"",SUMIFS(INPUT_DATA!AB:AB,INPUT_DATA!$A:$A,$B20,INPUT_DATA!$C:$C,"D"))</f>
        <v>0</v>
      </c>
      <c r="CC20" s="311">
        <f>IF($B20=0,"",SUMIFS(INPUT_DATA!AC:AC,INPUT_DATA!$A:$A,$B20,INPUT_DATA!$C:$C,"D"))</f>
        <v>0</v>
      </c>
      <c r="CD20" s="311">
        <f>IF($B20=0,"",SUMIFS(INPUT_DATA!AD:AD,INPUT_DATA!$A:$A,$B20,INPUT_DATA!$C:$C,"D"))</f>
        <v>0</v>
      </c>
      <c r="CE20" s="311">
        <f>IF($B20=0,"",SUMIFS(INPUT_DATA!AE:AE,INPUT_DATA!$A:$A,$B20,INPUT_DATA!$C:$C,"D"))</f>
        <v>0</v>
      </c>
      <c r="CF20" s="352">
        <f>IF($B20=0,"",SUMIFS(INPUT_DATA!AF:AF,INPUT_DATA!$A:$A,$B20,INPUT_DATA!$C:$C,"D"))</f>
        <v>0</v>
      </c>
      <c r="CG20" s="352">
        <f>IF($B20=0,"",SUMIFS(INPUT_DATA!AG:AG,INPUT_DATA!$A:$A,$B20,INPUT_DATA!$C:$C,"D"))</f>
        <v>0</v>
      </c>
      <c r="CH20" s="352">
        <f>IF($B20=0,"",SUMIFS(INPUT_DATA!AH:AH,INPUT_DATA!$A:$A,$B20,INPUT_DATA!$C:$C,"D"))</f>
        <v>0</v>
      </c>
      <c r="CI20" s="153">
        <f>IF($B20=0,"",SUMIFS(INPUT_DATA!AI:AI,INPUT_DATA!$A:$A,$B20,INPUT_DATA!$C:$C,"D"))</f>
        <v>0</v>
      </c>
      <c r="CJ20" s="153">
        <f>IF($B20=0,"",SUMIFS(INPUT_DATA!AJ:AJ,INPUT_DATA!$A:$A,$B20,INPUT_DATA!$C:$C,"D"))</f>
        <v>0</v>
      </c>
      <c r="CK20" s="153">
        <f>IF($B20=0,"",SUMIFS(INPUT_DATA!AK:AK,INPUT_DATA!$A:$A,$B20,INPUT_DATA!$C:$C,"D"))</f>
        <v>0</v>
      </c>
      <c r="CL20" s="153">
        <f>IF($B20=0,"",SUMIFS(INPUT_DATA!AL:AL,INPUT_DATA!$A:$A,$B20,INPUT_DATA!$C:$C,"D"))</f>
        <v>0</v>
      </c>
      <c r="CM20" s="153">
        <f>IF($B20=0,"",SUMIFS(INPUT_DATA!AM:AM,INPUT_DATA!$A:$A,$B20,INPUT_DATA!$C:$C,"D"))</f>
        <v>0</v>
      </c>
      <c r="CN20" s="153">
        <f>IF($B20=0,"",SUMIFS(INPUT_DATA!AN:AN,INPUT_DATA!$A:$A,$B20,INPUT_DATA!$C:$C,"D"))</f>
        <v>0</v>
      </c>
      <c r="CO20" s="153">
        <f>IF($B20=0,"",SUMIFS(INPUT_DATA!AO:AO,INPUT_DATA!$A:$A,$B20,INPUT_DATA!$C:$C,"D"))</f>
        <v>0</v>
      </c>
      <c r="CP20" s="153">
        <f>IF($B20=0,"",SUMIFS(INPUT_DATA!AP:AP,INPUT_DATA!$A:$A,$B20,INPUT_DATA!$C:$C,"D"))</f>
        <v>0</v>
      </c>
      <c r="CQ20" s="153">
        <f>IF($B20=0,"",SUMIFS(INPUT_DATA!AQ:AQ,INPUT_DATA!$A:$A,$B20,INPUT_DATA!$C:$C,"D"))</f>
        <v>0</v>
      </c>
      <c r="CR20" s="1035">
        <f t="shared" si="20"/>
        <v>0</v>
      </c>
      <c r="CS20" s="1035">
        <f t="shared" si="21"/>
        <v>0</v>
      </c>
      <c r="CT20" s="1035">
        <f t="shared" si="22"/>
        <v>0</v>
      </c>
      <c r="CU20" s="366">
        <f>IF($B20=0,"",SUMIFS(INPUT_DATA!AR:AR,INPUT_DATA!$A:$A,$B20,INPUT_DATA!$C:$C,"D"))</f>
        <v>0</v>
      </c>
      <c r="CV20" s="366">
        <f>IF($B20=0,"",SUMIFS(INPUT_DATA!AS:AS,INPUT_DATA!$A:$A,$B20,INPUT_DATA!$C:$C,"D"))</f>
        <v>0</v>
      </c>
      <c r="CW20" s="366">
        <f>IF($B20=0,"",SUMIFS(INPUT_DATA!AT:AT,INPUT_DATA!$A:$A,$B20,INPUT_DATA!$C:$C,"D"))</f>
        <v>0</v>
      </c>
      <c r="CX20" s="366">
        <f t="shared" si="23"/>
        <v>0</v>
      </c>
      <c r="CY20" s="1035">
        <f t="shared" si="24"/>
        <v>0</v>
      </c>
      <c r="CZ20" s="1039">
        <f t="shared" si="25"/>
        <v>0</v>
      </c>
      <c r="DA20" s="150"/>
    </row>
    <row r="21" spans="2:105" x14ac:dyDescent="0.2">
      <c r="B21" s="720">
        <f>INPUT_DATA!BQ8</f>
        <v>45443</v>
      </c>
      <c r="C21" s="1031">
        <f>IF($B21=0,"",SUMIFS(INPUT_DATA!D:D,INPUT_DATA!$A:$A,$B21,INPUT_DATA!$C:$C,"S"))</f>
        <v>712314813.96000087</v>
      </c>
      <c r="D21" s="366">
        <f>IF($B21=0,"",SUMIFS(INPUT_DATA!E:E,INPUT_DATA!$A:$A,$B21,INPUT_DATA!$C:$C,"S"))</f>
        <v>0</v>
      </c>
      <c r="E21" s="153">
        <f>IF($B21=0,"",SUMIFS(INPUT_DATA!F:F,INPUT_DATA!$A:$A,$B21,INPUT_DATA!$C:$C,"S"))</f>
        <v>4892047.1100000022</v>
      </c>
      <c r="F21" s="153">
        <f>IF($B21=0,"",SUMIFS(INPUT_DATA!G:G,INPUT_DATA!$A:$A,$B21,INPUT_DATA!$C:$C,"S"))</f>
        <v>581914.99</v>
      </c>
      <c r="G21" s="153">
        <f>IF($B21=0,"",SUMIFS(INPUT_DATA!H:H,INPUT_DATA!$A:$A,$B21,INPUT_DATA!$C:$C,"S"))</f>
        <v>0</v>
      </c>
      <c r="H21" s="153">
        <f>IF($B21=0,"",SUMIFS(INPUT_DATA!I:I,INPUT_DATA!$A:$A,$B21,INPUT_DATA!$C:$C,"S"))</f>
        <v>1413.2599999999998</v>
      </c>
      <c r="I21" s="153">
        <f>IF($B21=0,"",SUMIFS(INPUT_DATA!J:J,INPUT_DATA!$A:$A,$B21,INPUT_DATA!$C:$C,"S"))</f>
        <v>0</v>
      </c>
      <c r="J21" s="153">
        <f>IF($B21=0,"",SUMIFS(INPUT_DATA!K:K,INPUT_DATA!$A:$A,$B21,INPUT_DATA!$C:$C,"S"))</f>
        <v>0</v>
      </c>
      <c r="K21" s="153">
        <f>IF($B21=0,"",SUMIFS(INPUT_DATA!L:L,INPUT_DATA!$A:$A,$B21,INPUT_DATA!$C:$C,"S"))</f>
        <v>0</v>
      </c>
      <c r="L21" s="153">
        <f>IF($B21=0,"",SUMIFS(INPUT_DATA!M:M,INPUT_DATA!$A:$A,$B21,INPUT_DATA!$C:$C,"S"))</f>
        <v>0</v>
      </c>
      <c r="M21" s="153">
        <f>IF($B21=0,"",SUMIFS(INPUT_DATA!N:N,INPUT_DATA!$A:$A,$B21,INPUT_DATA!$C:$C,"S"))</f>
        <v>0</v>
      </c>
      <c r="N21" s="153">
        <f>IF($B21=0,"",SUMIFS(INPUT_DATA!O:O,INPUT_DATA!$A:$A,$B21,INPUT_DATA!$C:$C,"S"))</f>
        <v>0</v>
      </c>
      <c r="O21" s="1032">
        <f t="shared" si="0"/>
        <v>706842265.12000084</v>
      </c>
      <c r="P21" s="1033">
        <f>IF($B21=0,"",SUMIFS(INPUT_DATA!P:P,INPUT_DATA!$A:$A,$B21,INPUT_DATA!$C:$C,"S"))</f>
        <v>706842265.12000024</v>
      </c>
      <c r="Q21" s="1033">
        <f t="shared" si="1"/>
        <v>5.9604644775390625E-7</v>
      </c>
      <c r="R21" s="312">
        <f>IF($B21=0,"",SUMIFS(INPUT_DATA!Q:Q,INPUT_DATA!$A:$A,$B21,INPUT_DATA!$C:$C,"S"))</f>
        <v>83181.740000000005</v>
      </c>
      <c r="S21" s="312">
        <f>IF($B21=0,"",SUMIFS(INPUT_DATA!R:R,INPUT_DATA!$A:$A,$B21,INPUT_DATA!$C:$C,"S"))</f>
        <v>5249.6399999999994</v>
      </c>
      <c r="T21" s="312">
        <f>IF($B21=0,"",SUMIFS(INPUT_DATA!S:S,INPUT_DATA!$A:$A,$B21,INPUT_DATA!$C:$C,"S"))</f>
        <v>0</v>
      </c>
      <c r="U21" s="312">
        <f>IF($B21=0,"",SUMIFS(INPUT_DATA!T:T,INPUT_DATA!$A:$A,$B21,INPUT_DATA!$C:$C,"S"))</f>
        <v>45638.840000000011</v>
      </c>
      <c r="V21" s="312">
        <f>IF($B21=0,"",SUMIFS(INPUT_DATA!U:U,INPUT_DATA!$A:$A,$B21,INPUT_DATA!$C:$C,"S"))</f>
        <v>6830.32</v>
      </c>
      <c r="W21" s="312">
        <f>IF($B21=0,"",SUMIFS(INPUT_DATA!V:V,INPUT_DATA!$A:$A,$B21,INPUT_DATA!$C:$C,"S"))</f>
        <v>0</v>
      </c>
      <c r="X21" s="312">
        <f>IF($B21=0,"",SUMIFS(INPUT_DATA!W:W,INPUT_DATA!$A:$A,$B21,INPUT_DATA!$C:$C,"S"))</f>
        <v>71288.189999999988</v>
      </c>
      <c r="Y21" s="312">
        <f>IF($B21=0,"",SUMIFS(INPUT_DATA!X:X,INPUT_DATA!$A:$A,$B21,INPUT_DATA!$C:$C,"S"))</f>
        <v>4392.8799999999992</v>
      </c>
      <c r="Z21" s="312">
        <f>IF($B21=0,"",SUMIFS(INPUT_DATA!Y:Y,INPUT_DATA!$A:$A,$B21,INPUT_DATA!$C:$C,"S"))</f>
        <v>0</v>
      </c>
      <c r="AA21" s="312">
        <f>IF($B21=0,"",SUMIFS(INPUT_DATA!Z:Z,INPUT_DATA!$A:$A,$B21,INPUT_DATA!$C:$C,"S"))</f>
        <v>0</v>
      </c>
      <c r="AB21" s="312">
        <f>IF($B21=0,"",SUMIFS(INPUT_DATA!AA:AA,INPUT_DATA!$A:$A,$B21,INPUT_DATA!$C:$C,"S"))</f>
        <v>0</v>
      </c>
      <c r="AC21" s="312">
        <f>IF($B21=0,"",SUMIFS(INPUT_DATA!AB:AB,INPUT_DATA!$A:$A,$B21,INPUT_DATA!$C:$C,"S"))</f>
        <v>0</v>
      </c>
      <c r="AD21" s="312">
        <f>IF($B21=0,"",SUMIFS(INPUT_DATA!AC:AC,INPUT_DATA!$A:$A,$B21,INPUT_DATA!$C:$C,"S"))</f>
        <v>0</v>
      </c>
      <c r="AE21" s="312">
        <f>IF($B21=0,"",SUMIFS(INPUT_DATA!AD:AD,INPUT_DATA!$A:$A,$B21,INPUT_DATA!$C:$C,"S"))</f>
        <v>0</v>
      </c>
      <c r="AF21" s="312">
        <f>IF($B21=0,"",SUMIFS(INPUT_DATA!AE:AE,INPUT_DATA!$A:$A,$B21,INPUT_DATA!$C:$C,"S"))</f>
        <v>0</v>
      </c>
      <c r="AG21" s="312">
        <f>IF($B21=0,"",SUMIFS(INPUT_DATA!AF:AF,INPUT_DATA!$A:$A,$B21,INPUT_DATA!$C:$C,"S"))</f>
        <v>0</v>
      </c>
      <c r="AH21" s="312">
        <f>IF($B21=0,"",SUMIFS(INPUT_DATA!AG:AG,INPUT_DATA!$A:$A,$B21,INPUT_DATA!$C:$C,"S"))</f>
        <v>0</v>
      </c>
      <c r="AI21" s="312">
        <f>IF($B21=0,"",SUMIFS(INPUT_DATA!AH:AH,INPUT_DATA!$A:$A,$B21,INPUT_DATA!$C:$C,"S"))</f>
        <v>0</v>
      </c>
      <c r="AJ21" s="312">
        <f>IF($B21=0,"",SUMIFS(INPUT_DATA!AI:AI,INPUT_DATA!$A:$A,$B21,INPUT_DATA!$C:$C,"S"))</f>
        <v>0</v>
      </c>
      <c r="AK21" s="312">
        <f>IF($B21=0,"",SUMIFS(INPUT_DATA!AJ:AJ,INPUT_DATA!$A:$A,$B21,INPUT_DATA!$C:$C,"S"))</f>
        <v>0</v>
      </c>
      <c r="AL21" s="312">
        <f>IF($B21=0,"",SUMIFS(INPUT_DATA!AK:AK,INPUT_DATA!$A:$A,$B21,INPUT_DATA!$C:$C,"S"))</f>
        <v>0</v>
      </c>
      <c r="AM21" s="312">
        <f>IF($B21=0,"",SUMIFS(INPUT_DATA!AL:AL,INPUT_DATA!$A:$A,$B21,INPUT_DATA!$C:$C,"S"))</f>
        <v>0</v>
      </c>
      <c r="AN21" s="312">
        <f>IF($B21=0,"",SUMIFS(INPUT_DATA!AM:AM,INPUT_DATA!$A:$A,$B21,INPUT_DATA!$C:$C,"S"))</f>
        <v>0</v>
      </c>
      <c r="AO21" s="312">
        <f>IF($B21=0,"",SUMIFS(INPUT_DATA!AN:AN,INPUT_DATA!$A:$A,$B21,INPUT_DATA!$C:$C,"S"))</f>
        <v>0</v>
      </c>
      <c r="AP21" s="312">
        <f>IF($B21=0,"",SUMIFS(INPUT_DATA!AO:AO,INPUT_DATA!$A:$A,$B21,INPUT_DATA!$C:$C,"S"))</f>
        <v>0</v>
      </c>
      <c r="AQ21" s="312">
        <f>IF($B21=0,"",SUMIFS(INPUT_DATA!AP:AP,INPUT_DATA!$A:$A,$B21,INPUT_DATA!$C:$C,"S"))</f>
        <v>0</v>
      </c>
      <c r="AR21" s="312">
        <f>IF($B21=0,"",SUMIFS(INPUT_DATA!AQ:AQ,INPUT_DATA!$A:$A,$B21,INPUT_DATA!$C:$C,"S"))</f>
        <v>0</v>
      </c>
      <c r="AS21" s="1034">
        <f t="shared" si="2"/>
        <v>57532.390000000029</v>
      </c>
      <c r="AT21" s="1035">
        <f t="shared" si="3"/>
        <v>7687.08</v>
      </c>
      <c r="AU21" s="1036">
        <f t="shared" si="4"/>
        <v>0</v>
      </c>
      <c r="AV21" s="1034">
        <f>IF($B21=0,"",SUMIFS(INPUT_DATA!AR:AR,INPUT_DATA!$A:$A,$B21,INPUT_DATA!$C:$C,"S"))</f>
        <v>57532.390000000014</v>
      </c>
      <c r="AW21" s="1035">
        <f>IF($B21=0,"",SUMIFS(INPUT_DATA!AS:AS,INPUT_DATA!$A:$A,$B21,INPUT_DATA!$C:$C,"S"))</f>
        <v>7687.0799999999981</v>
      </c>
      <c r="AX21" s="1036">
        <f>IF($B21=0,"",SUMIFS(INPUT_DATA!AT:AT,INPUT_DATA!$A:$A,$B21,INPUT_DATA!$C:$C,"S"))</f>
        <v>0</v>
      </c>
      <c r="AY21" s="1034">
        <f t="shared" si="15"/>
        <v>1.4551915228366852E-11</v>
      </c>
      <c r="AZ21" s="1035">
        <f t="shared" si="16"/>
        <v>1.8189894035458565E-12</v>
      </c>
      <c r="BA21" s="1036">
        <f t="shared" si="17"/>
        <v>0</v>
      </c>
      <c r="BB21" s="150"/>
      <c r="BC21" s="1031">
        <f>IF($B21=0,"",SUMIFS(INPUT_DATA!D:D,INPUT_DATA!$A:$A,$B21,INPUT_DATA!$C:$C,"D"))</f>
        <v>0</v>
      </c>
      <c r="BD21" s="311">
        <f>IF($B21=0,"",SUMIFS(INPUT_DATA!F:F,INPUT_DATA!$A:$A,$B21,INPUT_DATA!$C:$C,"D"))</f>
        <v>0</v>
      </c>
      <c r="BE21" s="311">
        <f>IF($B21=0,"",SUMIFS(INPUT_DATA!G:G,INPUT_DATA!$A:$A,$B21,INPUT_DATA!$C:$C,"D"))</f>
        <v>0</v>
      </c>
      <c r="BF21" s="311">
        <f>IF($B21=0,"",SUMIFS(INPUT_DATA!H:H,INPUT_DATA!$A:$A,$B21,INPUT_DATA!$C:$C,"D"))</f>
        <v>0</v>
      </c>
      <c r="BG21" s="311">
        <f>IF($B21=0,"",SUMIFS(INPUT_DATA!I:I,INPUT_DATA!$A:$A,$B21,INPUT_DATA!$C:$C,"D"))</f>
        <v>0</v>
      </c>
      <c r="BH21" s="311">
        <f>IF($B21=0,"",SUMIFS(INPUT_DATA!J:J,INPUT_DATA!$A:$A,$B21,INPUT_DATA!$C:$C,"D"))</f>
        <v>0</v>
      </c>
      <c r="BI21" s="311">
        <f>IF($B21=0,"",SUMIFS(INPUT_DATA!K:K,INPUT_DATA!$A:$A,$B21,INPUT_DATA!$C:$C,"D"))</f>
        <v>0</v>
      </c>
      <c r="BJ21" s="311">
        <f>IF($B21=0,"",SUMIFS(INPUT_DATA!L:L,INPUT_DATA!$A:$A,$B21,INPUT_DATA!$C:$C,"D"))</f>
        <v>0</v>
      </c>
      <c r="BK21" s="311">
        <f>IF($B21=0,"",SUMIFS(INPUT_DATA!M:M,INPUT_DATA!$A:$A,$B21,INPUT_DATA!$C:$C,"D"))</f>
        <v>0</v>
      </c>
      <c r="BL21" s="311">
        <f>IF($B21=0,"",SUMIFS(INPUT_DATA!N:N,INPUT_DATA!$A:$A,$B21,INPUT_DATA!$C:$C,"D"))</f>
        <v>0</v>
      </c>
      <c r="BM21" s="311">
        <f>IF($B21=0,"",SUMIFS(INPUT_DATA!O:O,INPUT_DATA!$A:$A,$B21,INPUT_DATA!$C:$C,"D"))</f>
        <v>0</v>
      </c>
      <c r="BN21" s="1037">
        <f t="shared" si="18"/>
        <v>0</v>
      </c>
      <c r="BO21" s="1037">
        <f>IF($B21=0,"",SUMIFS(INPUT_DATA!O:O,INPUT_DATA!$A:$A,$B21,INPUT_DATA!$C:$C,"D"))</f>
        <v>0</v>
      </c>
      <c r="BP21" s="1037">
        <f t="shared" si="19"/>
        <v>0</v>
      </c>
      <c r="BQ21" s="1031">
        <f>IF($B21=0,"",SUMIFS(INPUT_DATA!Q:Q,INPUT_DATA!$A:$A,$B21,INPUT_DATA!$C:$C,"D"))</f>
        <v>0</v>
      </c>
      <c r="BR21" s="1038">
        <f>IF($B21=0,"",SUMIFS(INPUT_DATA!R:R,INPUT_DATA!$A:$A,$B21,INPUT_DATA!$C:$C,"D"))</f>
        <v>0</v>
      </c>
      <c r="BS21" s="1038">
        <f>IF($B21=0,"",SUMIFS(INPUT_DATA!S:S,INPUT_DATA!$A:$A,$B21,INPUT_DATA!$C:$C,"D"))</f>
        <v>0</v>
      </c>
      <c r="BT21" s="311">
        <f>IF($B21=0,"",SUMIFS(INPUT_DATA!T:T,INPUT_DATA!$A:$A,$B21,INPUT_DATA!$C:$C,"D"))</f>
        <v>0</v>
      </c>
      <c r="BU21" s="311">
        <f>IF($B21=0,"",SUMIFS(INPUT_DATA!U:U,INPUT_DATA!$A:$A,$B21,INPUT_DATA!$C:$C,"D"))</f>
        <v>0</v>
      </c>
      <c r="BV21" s="311">
        <f>IF($B21=0,"",SUMIFS(INPUT_DATA!V:V,INPUT_DATA!$A:$A,$B21,INPUT_DATA!$C:$C,"D"))</f>
        <v>0</v>
      </c>
      <c r="BW21" s="311">
        <f>IF($B21=0,"",SUMIFS(INPUT_DATA!W:W,INPUT_DATA!$A:$A,$B21,INPUT_DATA!$C:$C,"D"))</f>
        <v>0</v>
      </c>
      <c r="BX21" s="311">
        <f>IF($B21=0,"",SUMIFS(INPUT_DATA!X:X,INPUT_DATA!$A:$A,$B21,INPUT_DATA!$C:$C,"D"))</f>
        <v>0</v>
      </c>
      <c r="BY21" s="311">
        <f>IF($B21=0,"",SUMIFS(INPUT_DATA!Y:Y,INPUT_DATA!$A:$A,$B21,INPUT_DATA!$C:$C,"D"))</f>
        <v>0</v>
      </c>
      <c r="BZ21" s="352">
        <f>IF($B21=0,"",SUMIFS(INPUT_DATA!Z:Z,INPUT_DATA!$A:$A,$B21,INPUT_DATA!$C:$C,"D"))</f>
        <v>0</v>
      </c>
      <c r="CA21" s="352">
        <f>IF($B21=0,"",SUMIFS(INPUT_DATA!AA:AA,INPUT_DATA!$A:$A,$B21,INPUT_DATA!$C:$C,"D"))</f>
        <v>0</v>
      </c>
      <c r="CB21" s="352">
        <f>IF($B21=0,"",SUMIFS(INPUT_DATA!AB:AB,INPUT_DATA!$A:$A,$B21,INPUT_DATA!$C:$C,"D"))</f>
        <v>0</v>
      </c>
      <c r="CC21" s="311">
        <f>IF($B21=0,"",SUMIFS(INPUT_DATA!AC:AC,INPUT_DATA!$A:$A,$B21,INPUT_DATA!$C:$C,"D"))</f>
        <v>0</v>
      </c>
      <c r="CD21" s="311">
        <f>IF($B21=0,"",SUMIFS(INPUT_DATA!AD:AD,INPUT_DATA!$A:$A,$B21,INPUT_DATA!$C:$C,"D"))</f>
        <v>0</v>
      </c>
      <c r="CE21" s="311">
        <f>IF($B21=0,"",SUMIFS(INPUT_DATA!AE:AE,INPUT_DATA!$A:$A,$B21,INPUT_DATA!$C:$C,"D"))</f>
        <v>0</v>
      </c>
      <c r="CF21" s="352">
        <f>IF($B21=0,"",SUMIFS(INPUT_DATA!AF:AF,INPUT_DATA!$A:$A,$B21,INPUT_DATA!$C:$C,"D"))</f>
        <v>0</v>
      </c>
      <c r="CG21" s="352">
        <f>IF($B21=0,"",SUMIFS(INPUT_DATA!AG:AG,INPUT_DATA!$A:$A,$B21,INPUT_DATA!$C:$C,"D"))</f>
        <v>0</v>
      </c>
      <c r="CH21" s="352">
        <f>IF($B21=0,"",SUMIFS(INPUT_DATA!AH:AH,INPUT_DATA!$A:$A,$B21,INPUT_DATA!$C:$C,"D"))</f>
        <v>0</v>
      </c>
      <c r="CI21" s="153">
        <f>IF($B21=0,"",SUMIFS(INPUT_DATA!AI:AI,INPUT_DATA!$A:$A,$B21,INPUT_DATA!$C:$C,"D"))</f>
        <v>0</v>
      </c>
      <c r="CJ21" s="153">
        <f>IF($B21=0,"",SUMIFS(INPUT_DATA!AJ:AJ,INPUT_DATA!$A:$A,$B21,INPUT_DATA!$C:$C,"D"))</f>
        <v>0</v>
      </c>
      <c r="CK21" s="153">
        <f>IF($B21=0,"",SUMIFS(INPUT_DATA!AK:AK,INPUT_DATA!$A:$A,$B21,INPUT_DATA!$C:$C,"D"))</f>
        <v>0</v>
      </c>
      <c r="CL21" s="153">
        <f>IF($B21=0,"",SUMIFS(INPUT_DATA!AL:AL,INPUT_DATA!$A:$A,$B21,INPUT_DATA!$C:$C,"D"))</f>
        <v>0</v>
      </c>
      <c r="CM21" s="153">
        <f>IF($B21=0,"",SUMIFS(INPUT_DATA!AM:AM,INPUT_DATA!$A:$A,$B21,INPUT_DATA!$C:$C,"D"))</f>
        <v>0</v>
      </c>
      <c r="CN21" s="153">
        <f>IF($B21=0,"",SUMIFS(INPUT_DATA!AN:AN,INPUT_DATA!$A:$A,$B21,INPUT_DATA!$C:$C,"D"))</f>
        <v>0</v>
      </c>
      <c r="CO21" s="153">
        <f>IF($B21=0,"",SUMIFS(INPUT_DATA!AO:AO,INPUT_DATA!$A:$A,$B21,INPUT_DATA!$C:$C,"D"))</f>
        <v>0</v>
      </c>
      <c r="CP21" s="153">
        <f>IF($B21=0,"",SUMIFS(INPUT_DATA!AP:AP,INPUT_DATA!$A:$A,$B21,INPUT_DATA!$C:$C,"D"))</f>
        <v>0</v>
      </c>
      <c r="CQ21" s="153">
        <f>IF($B21=0,"",SUMIFS(INPUT_DATA!AQ:AQ,INPUT_DATA!$A:$A,$B21,INPUT_DATA!$C:$C,"D"))</f>
        <v>0</v>
      </c>
      <c r="CR21" s="1035">
        <f t="shared" si="20"/>
        <v>0</v>
      </c>
      <c r="CS21" s="1035">
        <f t="shared" si="21"/>
        <v>0</v>
      </c>
      <c r="CT21" s="1035">
        <f t="shared" si="22"/>
        <v>0</v>
      </c>
      <c r="CU21" s="366">
        <f>IF($B21=0,"",SUMIFS(INPUT_DATA!AR:AR,INPUT_DATA!$A:$A,$B21,INPUT_DATA!$C:$C,"D"))</f>
        <v>0</v>
      </c>
      <c r="CV21" s="366">
        <f>IF($B21=0,"",SUMIFS(INPUT_DATA!AS:AS,INPUT_DATA!$A:$A,$B21,INPUT_DATA!$C:$C,"D"))</f>
        <v>0</v>
      </c>
      <c r="CW21" s="366">
        <f>IF($B21=0,"",SUMIFS(INPUT_DATA!AT:AT,INPUT_DATA!$A:$A,$B21,INPUT_DATA!$C:$C,"D"))</f>
        <v>0</v>
      </c>
      <c r="CX21" s="366">
        <f t="shared" si="23"/>
        <v>0</v>
      </c>
      <c r="CY21" s="1035">
        <f t="shared" si="24"/>
        <v>0</v>
      </c>
      <c r="CZ21" s="1039">
        <f t="shared" si="25"/>
        <v>0</v>
      </c>
      <c r="DA21" s="150"/>
    </row>
    <row r="22" spans="2:105" x14ac:dyDescent="0.2">
      <c r="B22" s="720">
        <f>INPUT_DATA!BQ9</f>
        <v>45412</v>
      </c>
      <c r="C22" s="1031">
        <f>IF($B22=0,"",SUMIFS(INPUT_DATA!D:D,INPUT_DATA!$A:$A,$B22,INPUT_DATA!$C:$C,"S"))</f>
        <v>717784404.42000175</v>
      </c>
      <c r="D22" s="366">
        <f>IF($B22=0,"",SUMIFS(INPUT_DATA!E:E,INPUT_DATA!$A:$A,$B22,INPUT_DATA!$C:$C,"S"))</f>
        <v>0</v>
      </c>
      <c r="E22" s="153">
        <f>IF($B22=0,"",SUMIFS(INPUT_DATA!F:F,INPUT_DATA!$A:$A,$B22,INPUT_DATA!$C:$C,"S"))</f>
        <v>4955354.1600000011</v>
      </c>
      <c r="F22" s="153">
        <f>IF($B22=0,"",SUMIFS(INPUT_DATA!G:G,INPUT_DATA!$A:$A,$B22,INPUT_DATA!$C:$C,"S"))</f>
        <v>515506.72</v>
      </c>
      <c r="G22" s="153">
        <f>IF($B22=0,"",SUMIFS(INPUT_DATA!H:H,INPUT_DATA!$A:$A,$B22,INPUT_DATA!$C:$C,"S"))</f>
        <v>0</v>
      </c>
      <c r="H22" s="153">
        <f>IF($B22=0,"",SUMIFS(INPUT_DATA!I:I,INPUT_DATA!$A:$A,$B22,INPUT_DATA!$C:$C,"S"))</f>
        <v>1270.4199999999998</v>
      </c>
      <c r="I22" s="153">
        <f>IF($B22=0,"",SUMIFS(INPUT_DATA!J:J,INPUT_DATA!$A:$A,$B22,INPUT_DATA!$C:$C,"S"))</f>
        <v>0</v>
      </c>
      <c r="J22" s="153">
        <f>IF($B22=0,"",SUMIFS(INPUT_DATA!K:K,INPUT_DATA!$A:$A,$B22,INPUT_DATA!$C:$C,"S"))</f>
        <v>0</v>
      </c>
      <c r="K22" s="153">
        <f>IF($B22=0,"",SUMIFS(INPUT_DATA!L:L,INPUT_DATA!$A:$A,$B22,INPUT_DATA!$C:$C,"S"))</f>
        <v>0</v>
      </c>
      <c r="L22" s="153">
        <f>IF($B22=0,"",SUMIFS(INPUT_DATA!M:M,INPUT_DATA!$A:$A,$B22,INPUT_DATA!$C:$C,"S"))</f>
        <v>0</v>
      </c>
      <c r="M22" s="153">
        <f>IF($B22=0,"",SUMIFS(INPUT_DATA!N:N,INPUT_DATA!$A:$A,$B22,INPUT_DATA!$C:$C,"S"))</f>
        <v>0</v>
      </c>
      <c r="N22" s="153">
        <f>IF($B22=0,"",SUMIFS(INPUT_DATA!O:O,INPUT_DATA!$A:$A,$B22,INPUT_DATA!$C:$C,"S"))</f>
        <v>0</v>
      </c>
      <c r="O22" s="1032">
        <f t="shared" si="0"/>
        <v>712314813.96000171</v>
      </c>
      <c r="P22" s="1033">
        <f>IF($B22=0,"",SUMIFS(INPUT_DATA!P:P,INPUT_DATA!$A:$A,$B22,INPUT_DATA!$C:$C,"S"))</f>
        <v>712314813.96000087</v>
      </c>
      <c r="Q22" s="1033">
        <f t="shared" si="1"/>
        <v>8.3446502685546875E-7</v>
      </c>
      <c r="R22" s="312">
        <f>IF($B22=0,"",SUMIFS(INPUT_DATA!Q:Q,INPUT_DATA!$A:$A,$B22,INPUT_DATA!$C:$C,"S"))</f>
        <v>84046.089999999967</v>
      </c>
      <c r="S22" s="312">
        <f>IF($B22=0,"",SUMIFS(INPUT_DATA!R:R,INPUT_DATA!$A:$A,$B22,INPUT_DATA!$C:$C,"S"))</f>
        <v>5659.4600000000009</v>
      </c>
      <c r="T22" s="312">
        <f>IF($B22=0,"",SUMIFS(INPUT_DATA!S:S,INPUT_DATA!$A:$A,$B22,INPUT_DATA!$C:$C,"S"))</f>
        <v>0</v>
      </c>
      <c r="U22" s="312">
        <f>IF($B22=0,"",SUMIFS(INPUT_DATA!T:T,INPUT_DATA!$A:$A,$B22,INPUT_DATA!$C:$C,"S"))</f>
        <v>74590.569999999992</v>
      </c>
      <c r="V22" s="312">
        <f>IF($B22=0,"",SUMIFS(INPUT_DATA!U:U,INPUT_DATA!$A:$A,$B22,INPUT_DATA!$C:$C,"S"))</f>
        <v>4421.66</v>
      </c>
      <c r="W22" s="312">
        <f>IF($B22=0,"",SUMIFS(INPUT_DATA!V:V,INPUT_DATA!$A:$A,$B22,INPUT_DATA!$C:$C,"S"))</f>
        <v>0</v>
      </c>
      <c r="X22" s="312">
        <f>IF($B22=0,"",SUMIFS(INPUT_DATA!W:W,INPUT_DATA!$A:$A,$B22,INPUT_DATA!$C:$C,"S"))</f>
        <v>75454.919999999984</v>
      </c>
      <c r="Y22" s="312">
        <f>IF($B22=0,"",SUMIFS(INPUT_DATA!X:X,INPUT_DATA!$A:$A,$B22,INPUT_DATA!$C:$C,"S"))</f>
        <v>4831.4800000000014</v>
      </c>
      <c r="Z22" s="312">
        <f>IF($B22=0,"",SUMIFS(INPUT_DATA!Y:Y,INPUT_DATA!$A:$A,$B22,INPUT_DATA!$C:$C,"S"))</f>
        <v>0</v>
      </c>
      <c r="AA22" s="312">
        <f>IF($B22=0,"",SUMIFS(INPUT_DATA!Z:Z,INPUT_DATA!$A:$A,$B22,INPUT_DATA!$C:$C,"S"))</f>
        <v>0</v>
      </c>
      <c r="AB22" s="312">
        <f>IF($B22=0,"",SUMIFS(INPUT_DATA!AA:AA,INPUT_DATA!$A:$A,$B22,INPUT_DATA!$C:$C,"S"))</f>
        <v>0</v>
      </c>
      <c r="AC22" s="312">
        <f>IF($B22=0,"",SUMIFS(INPUT_DATA!AB:AB,INPUT_DATA!$A:$A,$B22,INPUT_DATA!$C:$C,"S"))</f>
        <v>0</v>
      </c>
      <c r="AD22" s="312">
        <f>IF($B22=0,"",SUMIFS(INPUT_DATA!AC:AC,INPUT_DATA!$A:$A,$B22,INPUT_DATA!$C:$C,"S"))</f>
        <v>0</v>
      </c>
      <c r="AE22" s="312">
        <f>IF($B22=0,"",SUMIFS(INPUT_DATA!AD:AD,INPUT_DATA!$A:$A,$B22,INPUT_DATA!$C:$C,"S"))</f>
        <v>0</v>
      </c>
      <c r="AF22" s="312">
        <f>IF($B22=0,"",SUMIFS(INPUT_DATA!AE:AE,INPUT_DATA!$A:$A,$B22,INPUT_DATA!$C:$C,"S"))</f>
        <v>0</v>
      </c>
      <c r="AG22" s="312">
        <f>IF($B22=0,"",SUMIFS(INPUT_DATA!AF:AF,INPUT_DATA!$A:$A,$B22,INPUT_DATA!$C:$C,"S"))</f>
        <v>0</v>
      </c>
      <c r="AH22" s="312">
        <f>IF($B22=0,"",SUMIFS(INPUT_DATA!AG:AG,INPUT_DATA!$A:$A,$B22,INPUT_DATA!$C:$C,"S"))</f>
        <v>0</v>
      </c>
      <c r="AI22" s="312">
        <f>IF($B22=0,"",SUMIFS(INPUT_DATA!AH:AH,INPUT_DATA!$A:$A,$B22,INPUT_DATA!$C:$C,"S"))</f>
        <v>0</v>
      </c>
      <c r="AJ22" s="312">
        <f>IF($B22=0,"",SUMIFS(INPUT_DATA!AI:AI,INPUT_DATA!$A:$A,$B22,INPUT_DATA!$C:$C,"S"))</f>
        <v>0</v>
      </c>
      <c r="AK22" s="312">
        <f>IF($B22=0,"",SUMIFS(INPUT_DATA!AJ:AJ,INPUT_DATA!$A:$A,$B22,INPUT_DATA!$C:$C,"S"))</f>
        <v>0</v>
      </c>
      <c r="AL22" s="312">
        <f>IF($B22=0,"",SUMIFS(INPUT_DATA!AK:AK,INPUT_DATA!$A:$A,$B22,INPUT_DATA!$C:$C,"S"))</f>
        <v>0</v>
      </c>
      <c r="AM22" s="312">
        <f>IF($B22=0,"",SUMIFS(INPUT_DATA!AL:AL,INPUT_DATA!$A:$A,$B22,INPUT_DATA!$C:$C,"S"))</f>
        <v>0</v>
      </c>
      <c r="AN22" s="312">
        <f>IF($B22=0,"",SUMIFS(INPUT_DATA!AM:AM,INPUT_DATA!$A:$A,$B22,INPUT_DATA!$C:$C,"S"))</f>
        <v>0</v>
      </c>
      <c r="AO22" s="312">
        <f>IF($B22=0,"",SUMIFS(INPUT_DATA!AN:AN,INPUT_DATA!$A:$A,$B22,INPUT_DATA!$C:$C,"S"))</f>
        <v>0</v>
      </c>
      <c r="AP22" s="312">
        <f>IF($B22=0,"",SUMIFS(INPUT_DATA!AO:AO,INPUT_DATA!$A:$A,$B22,INPUT_DATA!$C:$C,"S"))</f>
        <v>0</v>
      </c>
      <c r="AQ22" s="312">
        <f>IF($B22=0,"",SUMIFS(INPUT_DATA!AP:AP,INPUT_DATA!$A:$A,$B22,INPUT_DATA!$C:$C,"S"))</f>
        <v>0</v>
      </c>
      <c r="AR22" s="312">
        <f>IF($B22=0,"",SUMIFS(INPUT_DATA!AQ:AQ,INPUT_DATA!$A:$A,$B22,INPUT_DATA!$C:$C,"S"))</f>
        <v>0</v>
      </c>
      <c r="AS22" s="1034">
        <f t="shared" ref="AS22" si="26">IF($B22=0,"",R22+U22-X22-AA22-AD22-AG22+AJ22-AM22-AP22)</f>
        <v>83181.739999999991</v>
      </c>
      <c r="AT22" s="1035">
        <f t="shared" ref="AT22" si="27">IF($B22=0,"",S22+V22-Y22-AB22-AE22-AH22+AK22-AN22-AQ22)</f>
        <v>5249.6399999999994</v>
      </c>
      <c r="AU22" s="1036">
        <f t="shared" ref="AU22" si="28">IF($B22=0,"",T22+W22-Z22-AC22-AF22-AI22+AL22-AO22-AR22)</f>
        <v>0</v>
      </c>
      <c r="AV22" s="1034">
        <f>IF($B22=0,"",SUMIFS(INPUT_DATA!AR:AR,INPUT_DATA!$A:$A,$B22,INPUT_DATA!$C:$C,"S"))</f>
        <v>83181.740000000005</v>
      </c>
      <c r="AW22" s="1035">
        <f>IF($B22=0,"",SUMIFS(INPUT_DATA!AS:AS,INPUT_DATA!$A:$A,$B22,INPUT_DATA!$C:$C,"S"))</f>
        <v>5249.6399999999994</v>
      </c>
      <c r="AX22" s="1036">
        <f>IF($B22=0,"",SUMIFS(INPUT_DATA!AT:AT,INPUT_DATA!$A:$A,$B22,INPUT_DATA!$C:$C,"S"))</f>
        <v>0</v>
      </c>
      <c r="AY22" s="1034">
        <f t="shared" si="15"/>
        <v>-1.4551915228366852E-11</v>
      </c>
      <c r="AZ22" s="1035">
        <f t="shared" si="16"/>
        <v>0</v>
      </c>
      <c r="BA22" s="1036">
        <f t="shared" si="17"/>
        <v>0</v>
      </c>
      <c r="BB22" s="150"/>
      <c r="BC22" s="1031">
        <f>IF($B22=0,"",SUMIFS(INPUT_DATA!D:D,INPUT_DATA!$A:$A,$B22,INPUT_DATA!$C:$C,"D"))</f>
        <v>0</v>
      </c>
      <c r="BD22" s="311">
        <f>IF($B22=0,"",SUMIFS(INPUT_DATA!F:F,INPUT_DATA!$A:$A,$B22,INPUT_DATA!$C:$C,"D"))</f>
        <v>0</v>
      </c>
      <c r="BE22" s="311">
        <f>IF($B22=0,"",SUMIFS(INPUT_DATA!G:G,INPUT_DATA!$A:$A,$B22,INPUT_DATA!$C:$C,"D"))</f>
        <v>0</v>
      </c>
      <c r="BF22" s="311">
        <f>IF($B22=0,"",SUMIFS(INPUT_DATA!H:H,INPUT_DATA!$A:$A,$B22,INPUT_DATA!$C:$C,"D"))</f>
        <v>0</v>
      </c>
      <c r="BG22" s="311">
        <f>IF($B22=0,"",SUMIFS(INPUT_DATA!I:I,INPUT_DATA!$A:$A,$B22,INPUT_DATA!$C:$C,"D"))</f>
        <v>0</v>
      </c>
      <c r="BH22" s="311">
        <f>IF($B22=0,"",SUMIFS(INPUT_DATA!J:J,INPUT_DATA!$A:$A,$B22,INPUT_DATA!$C:$C,"D"))</f>
        <v>0</v>
      </c>
      <c r="BI22" s="311">
        <f>IF($B22=0,"",SUMIFS(INPUT_DATA!K:K,INPUT_DATA!$A:$A,$B22,INPUT_DATA!$C:$C,"D"))</f>
        <v>0</v>
      </c>
      <c r="BJ22" s="311">
        <f>IF($B22=0,"",SUMIFS(INPUT_DATA!L:L,INPUT_DATA!$A:$A,$B22,INPUT_DATA!$C:$C,"D"))</f>
        <v>0</v>
      </c>
      <c r="BK22" s="311">
        <f>IF($B22=0,"",SUMIFS(INPUT_DATA!M:M,INPUT_DATA!$A:$A,$B22,INPUT_DATA!$C:$C,"D"))</f>
        <v>0</v>
      </c>
      <c r="BL22" s="311">
        <f>IF($B22=0,"",SUMIFS(INPUT_DATA!N:N,INPUT_DATA!$A:$A,$B22,INPUT_DATA!$C:$C,"D"))</f>
        <v>0</v>
      </c>
      <c r="BM22" s="311">
        <f>IF($B22=0,"",SUMIFS(INPUT_DATA!O:O,INPUT_DATA!$A:$A,$B22,INPUT_DATA!$C:$C,"D"))</f>
        <v>0</v>
      </c>
      <c r="BN22" s="1037">
        <f t="shared" si="18"/>
        <v>0</v>
      </c>
      <c r="BO22" s="1037">
        <f>IF($B22=0,"",SUMIFS(INPUT_DATA!O:O,INPUT_DATA!$A:$A,$B22,INPUT_DATA!$C:$C,"D"))</f>
        <v>0</v>
      </c>
      <c r="BP22" s="1037">
        <f t="shared" si="19"/>
        <v>0</v>
      </c>
      <c r="BQ22" s="1031">
        <f>IF($B22=0,"",SUMIFS(INPUT_DATA!Q:Q,INPUT_DATA!$A:$A,$B22,INPUT_DATA!$C:$C,"D"))</f>
        <v>0</v>
      </c>
      <c r="BR22" s="1038">
        <f>IF($B22=0,"",SUMIFS(INPUT_DATA!R:R,INPUT_DATA!$A:$A,$B22,INPUT_DATA!$C:$C,"D"))</f>
        <v>0</v>
      </c>
      <c r="BS22" s="1038">
        <f>IF($B22=0,"",SUMIFS(INPUT_DATA!S:S,INPUT_DATA!$A:$A,$B22,INPUT_DATA!$C:$C,"D"))</f>
        <v>0</v>
      </c>
      <c r="BT22" s="311">
        <f>IF($B22=0,"",SUMIFS(INPUT_DATA!T:T,INPUT_DATA!$A:$A,$B22,INPUT_DATA!$C:$C,"D"))</f>
        <v>0</v>
      </c>
      <c r="BU22" s="311">
        <f>IF($B22=0,"",SUMIFS(INPUT_DATA!U:U,INPUT_DATA!$A:$A,$B22,INPUT_DATA!$C:$C,"D"))</f>
        <v>0</v>
      </c>
      <c r="BV22" s="311">
        <f>IF($B22=0,"",SUMIFS(INPUT_DATA!V:V,INPUT_DATA!$A:$A,$B22,INPUT_DATA!$C:$C,"D"))</f>
        <v>0</v>
      </c>
      <c r="BW22" s="311">
        <f>IF($B22=0,"",SUMIFS(INPUT_DATA!W:W,INPUT_DATA!$A:$A,$B22,INPUT_DATA!$C:$C,"D"))</f>
        <v>0</v>
      </c>
      <c r="BX22" s="311">
        <f>IF($B22=0,"",SUMIFS(INPUT_DATA!X:X,INPUT_DATA!$A:$A,$B22,INPUT_DATA!$C:$C,"D"))</f>
        <v>0</v>
      </c>
      <c r="BY22" s="311">
        <f>IF($B22=0,"",SUMIFS(INPUT_DATA!Y:Y,INPUT_DATA!$A:$A,$B22,INPUT_DATA!$C:$C,"D"))</f>
        <v>0</v>
      </c>
      <c r="BZ22" s="352">
        <f>IF($B22=0,"",SUMIFS(INPUT_DATA!Z:Z,INPUT_DATA!$A:$A,$B22,INPUT_DATA!$C:$C,"D"))</f>
        <v>0</v>
      </c>
      <c r="CA22" s="352">
        <f>IF($B22=0,"",SUMIFS(INPUT_DATA!AA:AA,INPUT_DATA!$A:$A,$B22,INPUT_DATA!$C:$C,"D"))</f>
        <v>0</v>
      </c>
      <c r="CB22" s="352">
        <f>IF($B22=0,"",SUMIFS(INPUT_DATA!AB:AB,INPUT_DATA!$A:$A,$B22,INPUT_DATA!$C:$C,"D"))</f>
        <v>0</v>
      </c>
      <c r="CC22" s="311">
        <f>IF($B22=0,"",SUMIFS(INPUT_DATA!AC:AC,INPUT_DATA!$A:$A,$B22,INPUT_DATA!$C:$C,"D"))</f>
        <v>0</v>
      </c>
      <c r="CD22" s="311">
        <f>IF($B22=0,"",SUMIFS(INPUT_DATA!AD:AD,INPUT_DATA!$A:$A,$B22,INPUT_DATA!$C:$C,"D"))</f>
        <v>0</v>
      </c>
      <c r="CE22" s="311">
        <f>IF($B22=0,"",SUMIFS(INPUT_DATA!AE:AE,INPUT_DATA!$A:$A,$B22,INPUT_DATA!$C:$C,"D"))</f>
        <v>0</v>
      </c>
      <c r="CF22" s="352">
        <f>IF($B22=0,"",SUMIFS(INPUT_DATA!AF:AF,INPUT_DATA!$A:$A,$B22,INPUT_DATA!$C:$C,"D"))</f>
        <v>0</v>
      </c>
      <c r="CG22" s="352">
        <f>IF($B22=0,"",SUMIFS(INPUT_DATA!AG:AG,INPUT_DATA!$A:$A,$B22,INPUT_DATA!$C:$C,"D"))</f>
        <v>0</v>
      </c>
      <c r="CH22" s="352">
        <f>IF($B22=0,"",SUMIFS(INPUT_DATA!AH:AH,INPUT_DATA!$A:$A,$B22,INPUT_DATA!$C:$C,"D"))</f>
        <v>0</v>
      </c>
      <c r="CI22" s="153">
        <f>IF($B22=0,"",SUMIFS(INPUT_DATA!AI:AI,INPUT_DATA!$A:$A,$B22,INPUT_DATA!$C:$C,"D"))</f>
        <v>0</v>
      </c>
      <c r="CJ22" s="153">
        <f>IF($B22=0,"",SUMIFS(INPUT_DATA!AJ:AJ,INPUT_DATA!$A:$A,$B22,INPUT_DATA!$C:$C,"D"))</f>
        <v>0</v>
      </c>
      <c r="CK22" s="153">
        <f>IF($B22=0,"",SUMIFS(INPUT_DATA!AK:AK,INPUT_DATA!$A:$A,$B22,INPUT_DATA!$C:$C,"D"))</f>
        <v>0</v>
      </c>
      <c r="CL22" s="153">
        <f>IF($B22=0,"",SUMIFS(INPUT_DATA!AL:AL,INPUT_DATA!$A:$A,$B22,INPUT_DATA!$C:$C,"D"))</f>
        <v>0</v>
      </c>
      <c r="CM22" s="153">
        <f>IF($B22=0,"",SUMIFS(INPUT_DATA!AM:AM,INPUT_DATA!$A:$A,$B22,INPUT_DATA!$C:$C,"D"))</f>
        <v>0</v>
      </c>
      <c r="CN22" s="153">
        <f>IF($B22=0,"",SUMIFS(INPUT_DATA!AN:AN,INPUT_DATA!$A:$A,$B22,INPUT_DATA!$C:$C,"D"))</f>
        <v>0</v>
      </c>
      <c r="CO22" s="153">
        <f>IF($B22=0,"",SUMIFS(INPUT_DATA!AO:AO,INPUT_DATA!$A:$A,$B22,INPUT_DATA!$C:$C,"D"))</f>
        <v>0</v>
      </c>
      <c r="CP22" s="153">
        <f>IF($B22=0,"",SUMIFS(INPUT_DATA!AP:AP,INPUT_DATA!$A:$A,$B22,INPUT_DATA!$C:$C,"D"))</f>
        <v>0</v>
      </c>
      <c r="CQ22" s="153">
        <f>IF($B22=0,"",SUMIFS(INPUT_DATA!AQ:AQ,INPUT_DATA!$A:$A,$B22,INPUT_DATA!$C:$C,"D"))</f>
        <v>0</v>
      </c>
      <c r="CR22" s="1035">
        <f t="shared" si="20"/>
        <v>0</v>
      </c>
      <c r="CS22" s="1035">
        <f t="shared" si="21"/>
        <v>0</v>
      </c>
      <c r="CT22" s="1035">
        <f t="shared" si="22"/>
        <v>0</v>
      </c>
      <c r="CU22" s="366">
        <f>IF($B22=0,"",SUMIFS(INPUT_DATA!AR:AR,INPUT_DATA!$A:$A,$B22,INPUT_DATA!$C:$C,"D"))</f>
        <v>0</v>
      </c>
      <c r="CV22" s="366">
        <f>IF($B22=0,"",SUMIFS(INPUT_DATA!AS:AS,INPUT_DATA!$A:$A,$B22,INPUT_DATA!$C:$C,"D"))</f>
        <v>0</v>
      </c>
      <c r="CW22" s="366">
        <f>IF($B22=0,"",SUMIFS(INPUT_DATA!AT:AT,INPUT_DATA!$A:$A,$B22,INPUT_DATA!$C:$C,"D"))</f>
        <v>0</v>
      </c>
      <c r="CX22" s="366">
        <f t="shared" si="23"/>
        <v>0</v>
      </c>
      <c r="CY22" s="1035">
        <f t="shared" si="24"/>
        <v>0</v>
      </c>
      <c r="CZ22" s="1039">
        <f t="shared" si="25"/>
        <v>0</v>
      </c>
      <c r="DA22" s="150"/>
    </row>
    <row r="23" spans="2:105" x14ac:dyDescent="0.2">
      <c r="B23" s="720">
        <f>INPUT_DATA!BQ10</f>
        <v>45382</v>
      </c>
      <c r="C23" s="1031">
        <f>IF($B23=0,"",SUMIFS(INPUT_DATA!D:D,INPUT_DATA!$A:$A,$B23,INPUT_DATA!$C:$C,"S"))</f>
        <v>724084667.10999954</v>
      </c>
      <c r="D23" s="366">
        <f>IF($B23=0,"",SUMIFS(INPUT_DATA!E:E,INPUT_DATA!$A:$A,$B23,INPUT_DATA!$C:$C,"S"))</f>
        <v>0</v>
      </c>
      <c r="E23" s="153">
        <f>IF($B23=0,"",SUMIFS(INPUT_DATA!F:F,INPUT_DATA!$A:$A,$B23,INPUT_DATA!$C:$C,"S"))</f>
        <v>4929820.2499999972</v>
      </c>
      <c r="F23" s="153">
        <f>IF($B23=0,"",SUMIFS(INPUT_DATA!G:G,INPUT_DATA!$A:$A,$B23,INPUT_DATA!$C:$C,"S"))</f>
        <v>1371710.64</v>
      </c>
      <c r="G23" s="153">
        <f>IF($B23=0,"",SUMIFS(INPUT_DATA!H:H,INPUT_DATA!$A:$A,$B23,INPUT_DATA!$C:$C,"S"))</f>
        <v>0</v>
      </c>
      <c r="H23" s="153">
        <f>IF($B23=0,"",SUMIFS(INPUT_DATA!I:I,INPUT_DATA!$A:$A,$B23,INPUT_DATA!$C:$C,"S"))</f>
        <v>1268.2</v>
      </c>
      <c r="I23" s="153">
        <f>IF($B23=0,"",SUMIFS(INPUT_DATA!J:J,INPUT_DATA!$A:$A,$B23,INPUT_DATA!$C:$C,"S"))</f>
        <v>0</v>
      </c>
      <c r="J23" s="153">
        <f>IF($B23=0,"",SUMIFS(INPUT_DATA!K:K,INPUT_DATA!$A:$A,$B23,INPUT_DATA!$C:$C,"S"))</f>
        <v>0</v>
      </c>
      <c r="K23" s="153">
        <f>IF($B23=0,"",SUMIFS(INPUT_DATA!L:L,INPUT_DATA!$A:$A,$B23,INPUT_DATA!$C:$C,"S"))</f>
        <v>0</v>
      </c>
      <c r="L23" s="153">
        <f>IF($B23=0,"",SUMIFS(INPUT_DATA!M:M,INPUT_DATA!$A:$A,$B23,INPUT_DATA!$C:$C,"S"))</f>
        <v>0</v>
      </c>
      <c r="M23" s="153">
        <f>IF($B23=0,"",SUMIFS(INPUT_DATA!N:N,INPUT_DATA!$A:$A,$B23,INPUT_DATA!$C:$C,"S"))</f>
        <v>0</v>
      </c>
      <c r="N23" s="153">
        <f>IF($B23=0,"",SUMIFS(INPUT_DATA!O:O,INPUT_DATA!$A:$A,$B23,INPUT_DATA!$C:$C,"S"))</f>
        <v>0</v>
      </c>
      <c r="O23" s="1032">
        <f>IF($B23=0,"",C23+D23-E23-F23+G23+H23+I23-J23-K23+L23-M23-N23)</f>
        <v>717784404.4199996</v>
      </c>
      <c r="P23" s="1033">
        <f>IF($B23=0,"",SUMIFS(INPUT_DATA!P:P,INPUT_DATA!$A:$A,$B23,INPUT_DATA!$C:$C,"S"))</f>
        <v>717784404.41999996</v>
      </c>
      <c r="Q23" s="1033">
        <f>IF($B23=0,"",O23-P23)</f>
        <v>-3.5762786865234375E-7</v>
      </c>
      <c r="R23" s="312">
        <f>IF($B23=0,"",SUMIFS(INPUT_DATA!Q:Q,INPUT_DATA!$A:$A,$B23,INPUT_DATA!$C:$C,"S"))</f>
        <v>86286.680000000022</v>
      </c>
      <c r="S23" s="312">
        <f>IF($B23=0,"",SUMIFS(INPUT_DATA!R:R,INPUT_DATA!$A:$A,$B23,INPUT_DATA!$C:$C,"S"))</f>
        <v>6989.1299999999992</v>
      </c>
      <c r="T23" s="312">
        <f>IF($B23=0,"",SUMIFS(INPUT_DATA!S:S,INPUT_DATA!$A:$A,$B23,INPUT_DATA!$C:$C,"S"))</f>
        <v>0</v>
      </c>
      <c r="U23" s="312">
        <f>IF($B23=0,"",SUMIFS(INPUT_DATA!T:T,INPUT_DATA!$A:$A,$B23,INPUT_DATA!$C:$C,"S"))</f>
        <v>70299.989999999962</v>
      </c>
      <c r="V23" s="312">
        <f>IF($B23=0,"",SUMIFS(INPUT_DATA!U:U,INPUT_DATA!$A:$A,$B23,INPUT_DATA!$C:$C,"S"))</f>
        <v>4775.9099999999989</v>
      </c>
      <c r="W23" s="312">
        <f>IF($B23=0,"",SUMIFS(INPUT_DATA!V:V,INPUT_DATA!$A:$A,$B23,INPUT_DATA!$C:$C,"S"))</f>
        <v>0</v>
      </c>
      <c r="X23" s="312">
        <f>IF($B23=0,"",SUMIFS(INPUT_DATA!W:W,INPUT_DATA!$A:$A,$B23,INPUT_DATA!$C:$C,"S"))</f>
        <v>72540.579999999973</v>
      </c>
      <c r="Y23" s="312">
        <f>IF($B23=0,"",SUMIFS(INPUT_DATA!X:X,INPUT_DATA!$A:$A,$B23,INPUT_DATA!$C:$C,"S"))</f>
        <v>6105.58</v>
      </c>
      <c r="Z23" s="312">
        <f>IF($B23=0,"",SUMIFS(INPUT_DATA!Y:Y,INPUT_DATA!$A:$A,$B23,INPUT_DATA!$C:$C,"S"))</f>
        <v>0</v>
      </c>
      <c r="AA23" s="312">
        <f>IF($B23=0,"",SUMIFS(INPUT_DATA!Z:Z,INPUT_DATA!$A:$A,$B23,INPUT_DATA!$C:$C,"S"))</f>
        <v>0</v>
      </c>
      <c r="AB23" s="312">
        <f>IF($B23=0,"",SUMIFS(INPUT_DATA!AA:AA,INPUT_DATA!$A:$A,$B23,INPUT_DATA!$C:$C,"S"))</f>
        <v>0</v>
      </c>
      <c r="AC23" s="312">
        <f>IF($B23=0,"",SUMIFS(INPUT_DATA!AB:AB,INPUT_DATA!$A:$A,$B23,INPUT_DATA!$C:$C,"S"))</f>
        <v>0</v>
      </c>
      <c r="AD23" s="312">
        <f>IF($B23=0,"",SUMIFS(INPUT_DATA!AC:AC,INPUT_DATA!$A:$A,$B23,INPUT_DATA!$C:$C,"S"))</f>
        <v>0</v>
      </c>
      <c r="AE23" s="312">
        <f>IF($B23=0,"",SUMIFS(INPUT_DATA!AD:AD,INPUT_DATA!$A:$A,$B23,INPUT_DATA!$C:$C,"S"))</f>
        <v>0</v>
      </c>
      <c r="AF23" s="312">
        <f>IF($B23=0,"",SUMIFS(INPUT_DATA!AE:AE,INPUT_DATA!$A:$A,$B23,INPUT_DATA!$C:$C,"S"))</f>
        <v>0</v>
      </c>
      <c r="AG23" s="312">
        <f>IF($B23=0,"",SUMIFS(INPUT_DATA!AF:AF,INPUT_DATA!$A:$A,$B23,INPUT_DATA!$C:$C,"S"))</f>
        <v>0</v>
      </c>
      <c r="AH23" s="312">
        <f>IF($B23=0,"",SUMIFS(INPUT_DATA!AG:AG,INPUT_DATA!$A:$A,$B23,INPUT_DATA!$C:$C,"S"))</f>
        <v>0</v>
      </c>
      <c r="AI23" s="312">
        <f>IF($B23=0,"",SUMIFS(INPUT_DATA!AH:AH,INPUT_DATA!$A:$A,$B23,INPUT_DATA!$C:$C,"S"))</f>
        <v>0</v>
      </c>
      <c r="AJ23" s="312">
        <f>IF($B23=0,"",SUMIFS(INPUT_DATA!AI:AI,INPUT_DATA!$A:$A,$B23,INPUT_DATA!$C:$C,"S"))</f>
        <v>0</v>
      </c>
      <c r="AK23" s="312">
        <f>IF($B23=0,"",SUMIFS(INPUT_DATA!AJ:AJ,INPUT_DATA!$A:$A,$B23,INPUT_DATA!$C:$C,"S"))</f>
        <v>0</v>
      </c>
      <c r="AL23" s="312">
        <f>IF($B23=0,"",SUMIFS(INPUT_DATA!AK:AK,INPUT_DATA!$A:$A,$B23,INPUT_DATA!$C:$C,"S"))</f>
        <v>0</v>
      </c>
      <c r="AM23" s="312">
        <f>IF($B23=0,"",SUMIFS(INPUT_DATA!AL:AL,INPUT_DATA!$A:$A,$B23,INPUT_DATA!$C:$C,"S"))</f>
        <v>0</v>
      </c>
      <c r="AN23" s="312">
        <f>IF($B23=0,"",SUMIFS(INPUT_DATA!AM:AM,INPUT_DATA!$A:$A,$B23,INPUT_DATA!$C:$C,"S"))</f>
        <v>0</v>
      </c>
      <c r="AO23" s="312">
        <f>IF($B23=0,"",SUMIFS(INPUT_DATA!AN:AN,INPUT_DATA!$A:$A,$B23,INPUT_DATA!$C:$C,"S"))</f>
        <v>0</v>
      </c>
      <c r="AP23" s="312">
        <f>IF($B23=0,"",SUMIFS(INPUT_DATA!AO:AO,INPUT_DATA!$A:$A,$B23,INPUT_DATA!$C:$C,"S"))</f>
        <v>0</v>
      </c>
      <c r="AQ23" s="312">
        <f>IF($B23=0,"",SUMIFS(INPUT_DATA!AP:AP,INPUT_DATA!$A:$A,$B23,INPUT_DATA!$C:$C,"S"))</f>
        <v>0</v>
      </c>
      <c r="AR23" s="312">
        <f>IF($B23=0,"",SUMIFS(INPUT_DATA!AQ:AQ,INPUT_DATA!$A:$A,$B23,INPUT_DATA!$C:$C,"S"))</f>
        <v>0</v>
      </c>
      <c r="AS23" s="1034">
        <f t="shared" ref="AS23:AS86" si="29">IF($B23=0,"",R23+U23-X23-AA23-AD23-AG23+AJ23-AM23-AP23)</f>
        <v>84046.090000000011</v>
      </c>
      <c r="AT23" s="1035">
        <f t="shared" ref="AT23:AT86" si="30">IF($B23=0,"",S23+V23-Y23-AB23-AE23-AH23+AK23-AN23-AQ23)</f>
        <v>5659.4599999999973</v>
      </c>
      <c r="AU23" s="1036">
        <f t="shared" ref="AU23:AU86" si="31">IF($B23=0,"",T23+W23-Z23-AC23-AF23-AI23+AL23-AO23-AR23)</f>
        <v>0</v>
      </c>
      <c r="AV23" s="1034">
        <f>IF($B23=0,"",SUMIFS(INPUT_DATA!AR:AR,INPUT_DATA!$A:$A,$B23,INPUT_DATA!$C:$C,"S"))</f>
        <v>84046.089999999967</v>
      </c>
      <c r="AW23" s="1035">
        <f>IF($B23=0,"",SUMIFS(INPUT_DATA!AS:AS,INPUT_DATA!$A:$A,$B23,INPUT_DATA!$C:$C,"S"))</f>
        <v>5659.4600000000009</v>
      </c>
      <c r="AX23" s="1036">
        <f>IF($B23=0,"",SUMIFS(INPUT_DATA!AT:AT,INPUT_DATA!$A:$A,$B23,INPUT_DATA!$C:$C,"S"))</f>
        <v>0</v>
      </c>
      <c r="AY23" s="1034">
        <f t="shared" si="15"/>
        <v>4.3655745685100555E-11</v>
      </c>
      <c r="AZ23" s="1035">
        <f t="shared" si="16"/>
        <v>-3.637978807091713E-12</v>
      </c>
      <c r="BA23" s="1036">
        <f t="shared" si="17"/>
        <v>0</v>
      </c>
      <c r="BB23" s="150"/>
      <c r="BC23" s="1031">
        <f>IF($B23=0,"",SUMIFS(INPUT_DATA!D:D,INPUT_DATA!$A:$A,$B23,INPUT_DATA!$C:$C,"D"))</f>
        <v>0</v>
      </c>
      <c r="BD23" s="311">
        <f>IF($B23=0,"",SUMIFS(INPUT_DATA!F:F,INPUT_DATA!$A:$A,$B23,INPUT_DATA!$C:$C,"D"))</f>
        <v>0</v>
      </c>
      <c r="BE23" s="311">
        <f>IF($B23=0,"",SUMIFS(INPUT_DATA!G:G,INPUT_DATA!$A:$A,$B23,INPUT_DATA!$C:$C,"D"))</f>
        <v>0</v>
      </c>
      <c r="BF23" s="311">
        <f>IF($B23=0,"",SUMIFS(INPUT_DATA!H:H,INPUT_DATA!$A:$A,$B23,INPUT_DATA!$C:$C,"D"))</f>
        <v>0</v>
      </c>
      <c r="BG23" s="311">
        <f>IF($B23=0,"",SUMIFS(INPUT_DATA!I:I,INPUT_DATA!$A:$A,$B23,INPUT_DATA!$C:$C,"D"))</f>
        <v>0</v>
      </c>
      <c r="BH23" s="311">
        <f>IF($B23=0,"",SUMIFS(INPUT_DATA!J:J,INPUT_DATA!$A:$A,$B23,INPUT_DATA!$C:$C,"D"))</f>
        <v>0</v>
      </c>
      <c r="BI23" s="311">
        <f>IF($B23=0,"",SUMIFS(INPUT_DATA!K:K,INPUT_DATA!$A:$A,$B23,INPUT_DATA!$C:$C,"D"))</f>
        <v>0</v>
      </c>
      <c r="BJ23" s="311">
        <f>IF($B23=0,"",SUMIFS(INPUT_DATA!L:L,INPUT_DATA!$A:$A,$B23,INPUT_DATA!$C:$C,"D"))</f>
        <v>0</v>
      </c>
      <c r="BK23" s="311">
        <f>IF($B23=0,"",SUMIFS(INPUT_DATA!M:M,INPUT_DATA!$A:$A,$B23,INPUT_DATA!$C:$C,"D"))</f>
        <v>0</v>
      </c>
      <c r="BL23" s="311">
        <f>IF($B23=0,"",SUMIFS(INPUT_DATA!N:N,INPUT_DATA!$A:$A,$B23,INPUT_DATA!$C:$C,"D"))</f>
        <v>0</v>
      </c>
      <c r="BM23" s="311">
        <f>IF($B23=0,"",SUMIFS(INPUT_DATA!O:O,INPUT_DATA!$A:$A,$B23,INPUT_DATA!$C:$C,"D"))</f>
        <v>0</v>
      </c>
      <c r="BN23" s="1037">
        <f t="shared" si="18"/>
        <v>0</v>
      </c>
      <c r="BO23" s="1037">
        <f>IF($B23=0,"",SUMIFS(INPUT_DATA!O:O,INPUT_DATA!$A:$A,$B23,INPUT_DATA!$C:$C,"D"))</f>
        <v>0</v>
      </c>
      <c r="BP23" s="1037">
        <f t="shared" si="19"/>
        <v>0</v>
      </c>
      <c r="BQ23" s="1031">
        <f>IF($B23=0,"",SUMIFS(INPUT_DATA!Q:Q,INPUT_DATA!$A:$A,$B23,INPUT_DATA!$C:$C,"D"))</f>
        <v>0</v>
      </c>
      <c r="BR23" s="1038">
        <f>IF($B23=0,"",SUMIFS(INPUT_DATA!R:R,INPUT_DATA!$A:$A,$B23,INPUT_DATA!$C:$C,"D"))</f>
        <v>0</v>
      </c>
      <c r="BS23" s="1038">
        <f>IF($B23=0,"",SUMIFS(INPUT_DATA!S:S,INPUT_DATA!$A:$A,$B23,INPUT_DATA!$C:$C,"D"))</f>
        <v>0</v>
      </c>
      <c r="BT23" s="311">
        <f>IF($B23=0,"",SUMIFS(INPUT_DATA!T:T,INPUT_DATA!$A:$A,$B23,INPUT_DATA!$C:$C,"D"))</f>
        <v>0</v>
      </c>
      <c r="BU23" s="311">
        <f>IF($B23=0,"",SUMIFS(INPUT_DATA!U:U,INPUT_DATA!$A:$A,$B23,INPUT_DATA!$C:$C,"D"))</f>
        <v>0</v>
      </c>
      <c r="BV23" s="311">
        <f>IF($B23=0,"",SUMIFS(INPUT_DATA!V:V,INPUT_DATA!$A:$A,$B23,INPUT_DATA!$C:$C,"D"))</f>
        <v>0</v>
      </c>
      <c r="BW23" s="311">
        <f>IF($B23=0,"",SUMIFS(INPUT_DATA!W:W,INPUT_DATA!$A:$A,$B23,INPUT_DATA!$C:$C,"D"))</f>
        <v>0</v>
      </c>
      <c r="BX23" s="311">
        <f>IF($B23=0,"",SUMIFS(INPUT_DATA!X:X,INPUT_DATA!$A:$A,$B23,INPUT_DATA!$C:$C,"D"))</f>
        <v>0</v>
      </c>
      <c r="BY23" s="311">
        <f>IF($B23=0,"",SUMIFS(INPUT_DATA!Y:Y,INPUT_DATA!$A:$A,$B23,INPUT_DATA!$C:$C,"D"))</f>
        <v>0</v>
      </c>
      <c r="BZ23" s="352">
        <f>IF($B23=0,"",SUMIFS(INPUT_DATA!Z:Z,INPUT_DATA!$A:$A,$B23,INPUT_DATA!$C:$C,"D"))</f>
        <v>0</v>
      </c>
      <c r="CA23" s="352">
        <f>IF($B23=0,"",SUMIFS(INPUT_DATA!AA:AA,INPUT_DATA!$A:$A,$B23,INPUT_DATA!$C:$C,"D"))</f>
        <v>0</v>
      </c>
      <c r="CB23" s="352">
        <f>IF($B23=0,"",SUMIFS(INPUT_DATA!AB:AB,INPUT_DATA!$A:$A,$B23,INPUT_DATA!$C:$C,"D"))</f>
        <v>0</v>
      </c>
      <c r="CC23" s="311">
        <f>IF($B23=0,"",SUMIFS(INPUT_DATA!AC:AC,INPUT_DATA!$A:$A,$B23,INPUT_DATA!$C:$C,"D"))</f>
        <v>0</v>
      </c>
      <c r="CD23" s="311">
        <f>IF($B23=0,"",SUMIFS(INPUT_DATA!AD:AD,INPUT_DATA!$A:$A,$B23,INPUT_DATA!$C:$C,"D"))</f>
        <v>0</v>
      </c>
      <c r="CE23" s="311">
        <f>IF($B23=0,"",SUMIFS(INPUT_DATA!AE:AE,INPUT_DATA!$A:$A,$B23,INPUT_DATA!$C:$C,"D"))</f>
        <v>0</v>
      </c>
      <c r="CF23" s="352">
        <f>IF($B23=0,"",SUMIFS(INPUT_DATA!AF:AF,INPUT_DATA!$A:$A,$B23,INPUT_DATA!$C:$C,"D"))</f>
        <v>0</v>
      </c>
      <c r="CG23" s="352">
        <f>IF($B23=0,"",SUMIFS(INPUT_DATA!AG:AG,INPUT_DATA!$A:$A,$B23,INPUT_DATA!$C:$C,"D"))</f>
        <v>0</v>
      </c>
      <c r="CH23" s="352">
        <f>IF($B23=0,"",SUMIFS(INPUT_DATA!AH:AH,INPUT_DATA!$A:$A,$B23,INPUT_DATA!$C:$C,"D"))</f>
        <v>0</v>
      </c>
      <c r="CI23" s="153">
        <f>IF($B23=0,"",SUMIFS(INPUT_DATA!AI:AI,INPUT_DATA!$A:$A,$B23,INPUT_DATA!$C:$C,"D"))</f>
        <v>0</v>
      </c>
      <c r="CJ23" s="153">
        <f>IF($B23=0,"",SUMIFS(INPUT_DATA!AJ:AJ,INPUT_DATA!$A:$A,$B23,INPUT_DATA!$C:$C,"D"))</f>
        <v>0</v>
      </c>
      <c r="CK23" s="153">
        <f>IF($B23=0,"",SUMIFS(INPUT_DATA!AK:AK,INPUT_DATA!$A:$A,$B23,INPUT_DATA!$C:$C,"D"))</f>
        <v>0</v>
      </c>
      <c r="CL23" s="153">
        <f>IF($B23=0,"",SUMIFS(INPUT_DATA!AL:AL,INPUT_DATA!$A:$A,$B23,INPUT_DATA!$C:$C,"D"))</f>
        <v>0</v>
      </c>
      <c r="CM23" s="153">
        <f>IF($B23=0,"",SUMIFS(INPUT_DATA!AM:AM,INPUT_DATA!$A:$A,$B23,INPUT_DATA!$C:$C,"D"))</f>
        <v>0</v>
      </c>
      <c r="CN23" s="153">
        <f>IF($B23=0,"",SUMIFS(INPUT_DATA!AN:AN,INPUT_DATA!$A:$A,$B23,INPUT_DATA!$C:$C,"D"))</f>
        <v>0</v>
      </c>
      <c r="CO23" s="153">
        <f>IF($B23=0,"",SUMIFS(INPUT_DATA!AO:AO,INPUT_DATA!$A:$A,$B23,INPUT_DATA!$C:$C,"D"))</f>
        <v>0</v>
      </c>
      <c r="CP23" s="153">
        <f>IF($B23=0,"",SUMIFS(INPUT_DATA!AP:AP,INPUT_DATA!$A:$A,$B23,INPUT_DATA!$C:$C,"D"))</f>
        <v>0</v>
      </c>
      <c r="CQ23" s="153">
        <f>IF($B23=0,"",SUMIFS(INPUT_DATA!AQ:AQ,INPUT_DATA!$A:$A,$B23,INPUT_DATA!$C:$C,"D"))</f>
        <v>0</v>
      </c>
      <c r="CR23" s="1035">
        <f t="shared" ref="CR23:CR86" si="32">IF($B23=0,"",BQ23+BT23-BW23-BZ23-CC23+CF23-CI23-CL23-CO23)</f>
        <v>0</v>
      </c>
      <c r="CS23" s="1035">
        <f t="shared" ref="CS23:CS86" si="33">IF($B23=0,"",BR23+BU23-BX23-CA23-CD23+CG23-CJ23-CM23-CP23)</f>
        <v>0</v>
      </c>
      <c r="CT23" s="1035">
        <f t="shared" ref="CT23:CT86" si="34">IF($B23=0,"",BS23+BV23-BY23-CB23-CE23+CH23-CK23-CN23-CQ23)</f>
        <v>0</v>
      </c>
      <c r="CU23" s="366">
        <f>IF($B23=0,"",SUMIFS(INPUT_DATA!AR:AR,INPUT_DATA!$A:$A,$B23,INPUT_DATA!$C:$C,"D"))</f>
        <v>0</v>
      </c>
      <c r="CV23" s="366">
        <f>IF($B23=0,"",SUMIFS(INPUT_DATA!AS:AS,INPUT_DATA!$A:$A,$B23,INPUT_DATA!$C:$C,"D"))</f>
        <v>0</v>
      </c>
      <c r="CW23" s="366">
        <f>IF($B23=0,"",SUMIFS(INPUT_DATA!AT:AT,INPUT_DATA!$A:$A,$B23,INPUT_DATA!$C:$C,"D"))</f>
        <v>0</v>
      </c>
      <c r="CX23" s="366">
        <f t="shared" ref="CX23:CX86" si="35">IF($B23=0,"",CR23-CU23)</f>
        <v>0</v>
      </c>
      <c r="CY23" s="1035">
        <f t="shared" ref="CY23:CY86" si="36">IF($B23=0,"",CS23-CV23)</f>
        <v>0</v>
      </c>
      <c r="CZ23" s="1039">
        <f t="shared" ref="CZ23:CZ86" si="37">IF($B23=0,"",CT23-CW23)</f>
        <v>0</v>
      </c>
      <c r="DA23" s="150"/>
    </row>
    <row r="24" spans="2:105" x14ac:dyDescent="0.2">
      <c r="B24" s="720">
        <f>INPUT_DATA!BQ11</f>
        <v>45351</v>
      </c>
      <c r="C24" s="1031">
        <f>IF($B24=0,"",SUMIFS(INPUT_DATA!D:D,INPUT_DATA!$A:$A,$B24,INPUT_DATA!$C:$C,"S"))</f>
        <v>732697498</v>
      </c>
      <c r="D24" s="366">
        <f>IF($B24=0,"",SUMIFS(INPUT_DATA!E:E,INPUT_DATA!$A:$A,$B24,INPUT_DATA!$C:$C,"S"))</f>
        <v>0</v>
      </c>
      <c r="E24" s="153">
        <f>IF($B24=0,"",SUMIFS(INPUT_DATA!F:F,INPUT_DATA!$A:$A,$B24,INPUT_DATA!$C:$C,"S"))</f>
        <v>4937474.88</v>
      </c>
      <c r="F24" s="153">
        <f>IF($B24=0,"",SUMIFS(INPUT_DATA!G:G,INPUT_DATA!$A:$A,$B24,INPUT_DATA!$C:$C,"S"))</f>
        <v>3676512.91</v>
      </c>
      <c r="G24" s="153">
        <f>IF($B24=0,"",SUMIFS(INPUT_DATA!H:H,INPUT_DATA!$A:$A,$B24,INPUT_DATA!$C:$C,"S"))</f>
        <v>0</v>
      </c>
      <c r="H24" s="153">
        <f>IF($B24=0,"",SUMIFS(INPUT_DATA!I:I,INPUT_DATA!$A:$A,$B24,INPUT_DATA!$C:$C,"S"))</f>
        <v>1156.9000000000001</v>
      </c>
      <c r="I24" s="153">
        <f>IF($B24=0,"",SUMIFS(INPUT_DATA!J:J,INPUT_DATA!$A:$A,$B24,INPUT_DATA!$C:$C,"S"))</f>
        <v>0</v>
      </c>
      <c r="J24" s="153">
        <f>IF($B24=0,"",SUMIFS(INPUT_DATA!K:K,INPUT_DATA!$A:$A,$B24,INPUT_DATA!$C:$C,"S"))</f>
        <v>0</v>
      </c>
      <c r="K24" s="153">
        <f>IF($B24=0,"",SUMIFS(INPUT_DATA!L:L,INPUT_DATA!$A:$A,$B24,INPUT_DATA!$C:$C,"S"))</f>
        <v>0</v>
      </c>
      <c r="L24" s="153">
        <f>IF($B24=0,"",SUMIFS(INPUT_DATA!M:M,INPUT_DATA!$A:$A,$B24,INPUT_DATA!$C:$C,"S"))</f>
        <v>0</v>
      </c>
      <c r="M24" s="153">
        <f>IF($B24=0,"",SUMIFS(INPUT_DATA!N:N,INPUT_DATA!$A:$A,$B24,INPUT_DATA!$C:$C,"S"))</f>
        <v>0</v>
      </c>
      <c r="N24" s="153">
        <f>IF($B24=0,"",SUMIFS(INPUT_DATA!O:O,INPUT_DATA!$A:$A,$B24,INPUT_DATA!$C:$C,"S"))</f>
        <v>0</v>
      </c>
      <c r="O24" s="1032">
        <f t="shared" ref="O24:O87" si="38">IF($B24=0,"",C24+D24-E24-F24+G24+H24+I24-J24-K24+L24-M24-N24)</f>
        <v>724084667.11000001</v>
      </c>
      <c r="P24" s="1033">
        <f>IF($B24=0,"",SUMIFS(INPUT_DATA!P:P,INPUT_DATA!$A:$A,$B24,INPUT_DATA!$C:$C,"S"))</f>
        <v>724084667.11000001</v>
      </c>
      <c r="Q24" s="1033">
        <f t="shared" ref="Q24:Q87" si="39">IF($B24=0,"",O24-P24)</f>
        <v>0</v>
      </c>
      <c r="R24" s="312">
        <f>IF($B24=0,"",SUMIFS(INPUT_DATA!Q:Q,INPUT_DATA!$A:$A,$B24,INPUT_DATA!$C:$C,"S"))</f>
        <v>75111.850000000006</v>
      </c>
      <c r="S24" s="312">
        <f>IF($B24=0,"",SUMIFS(INPUT_DATA!R:R,INPUT_DATA!$A:$A,$B24,INPUT_DATA!$C:$C,"S"))</f>
        <v>8781.85</v>
      </c>
      <c r="T24" s="312">
        <f>IF($B24=0,"",SUMIFS(INPUT_DATA!S:S,INPUT_DATA!$A:$A,$B24,INPUT_DATA!$C:$C,"S"))</f>
        <v>0</v>
      </c>
      <c r="U24" s="312">
        <f>IF($B24=0,"",SUMIFS(INPUT_DATA!T:T,INPUT_DATA!$A:$A,$B24,INPUT_DATA!$C:$C,"S"))</f>
        <v>75747.429999999993</v>
      </c>
      <c r="V24" s="312">
        <f>IF($B24=0,"",SUMIFS(INPUT_DATA!U:U,INPUT_DATA!$A:$A,$B24,INPUT_DATA!$C:$C,"S"))</f>
        <v>5365.94</v>
      </c>
      <c r="W24" s="312">
        <f>IF($B24=0,"",SUMIFS(INPUT_DATA!V:V,INPUT_DATA!$A:$A,$B24,INPUT_DATA!$C:$C,"S"))</f>
        <v>0</v>
      </c>
      <c r="X24" s="312">
        <f>IF($B24=0,"",SUMIFS(INPUT_DATA!W:W,INPUT_DATA!$A:$A,$B24,INPUT_DATA!$C:$C,"S"))</f>
        <v>64572.6</v>
      </c>
      <c r="Y24" s="312">
        <f>IF($B24=0,"",SUMIFS(INPUT_DATA!X:X,INPUT_DATA!$A:$A,$B24,INPUT_DATA!$C:$C,"S"))</f>
        <v>7158.66</v>
      </c>
      <c r="Z24" s="312">
        <f>IF($B24=0,"",SUMIFS(INPUT_DATA!Y:Y,INPUT_DATA!$A:$A,$B24,INPUT_DATA!$C:$C,"S"))</f>
        <v>0</v>
      </c>
      <c r="AA24" s="312">
        <f>IF($B24=0,"",SUMIFS(INPUT_DATA!Z:Z,INPUT_DATA!$A:$A,$B24,INPUT_DATA!$C:$C,"S"))</f>
        <v>0</v>
      </c>
      <c r="AB24" s="312">
        <f>IF($B24=0,"",SUMIFS(INPUT_DATA!AA:AA,INPUT_DATA!$A:$A,$B24,INPUT_DATA!$C:$C,"S"))</f>
        <v>0</v>
      </c>
      <c r="AC24" s="312">
        <f>IF($B24=0,"",SUMIFS(INPUT_DATA!AB:AB,INPUT_DATA!$A:$A,$B24,INPUT_DATA!$C:$C,"S"))</f>
        <v>0</v>
      </c>
      <c r="AD24" s="312">
        <f>IF($B24=0,"",SUMIFS(INPUT_DATA!AC:AC,INPUT_DATA!$A:$A,$B24,INPUT_DATA!$C:$C,"S"))</f>
        <v>0</v>
      </c>
      <c r="AE24" s="312">
        <f>IF($B24=0,"",SUMIFS(INPUT_DATA!AD:AD,INPUT_DATA!$A:$A,$B24,INPUT_DATA!$C:$C,"S"))</f>
        <v>0</v>
      </c>
      <c r="AF24" s="312">
        <f>IF($B24=0,"",SUMIFS(INPUT_DATA!AE:AE,INPUT_DATA!$A:$A,$B24,INPUT_DATA!$C:$C,"S"))</f>
        <v>0</v>
      </c>
      <c r="AG24" s="312">
        <f>IF($B24=0,"",SUMIFS(INPUT_DATA!AF:AF,INPUT_DATA!$A:$A,$B24,INPUT_DATA!$C:$C,"S"))</f>
        <v>0</v>
      </c>
      <c r="AH24" s="312">
        <f>IF($B24=0,"",SUMIFS(INPUT_DATA!AG:AG,INPUT_DATA!$A:$A,$B24,INPUT_DATA!$C:$C,"S"))</f>
        <v>0</v>
      </c>
      <c r="AI24" s="312">
        <f>IF($B24=0,"",SUMIFS(INPUT_DATA!AH:AH,INPUT_DATA!$A:$A,$B24,INPUT_DATA!$C:$C,"S"))</f>
        <v>0</v>
      </c>
      <c r="AJ24" s="312">
        <f>IF($B24=0,"",SUMIFS(INPUT_DATA!AI:AI,INPUT_DATA!$A:$A,$B24,INPUT_DATA!$C:$C,"S"))</f>
        <v>0</v>
      </c>
      <c r="AK24" s="312">
        <f>IF($B24=0,"",SUMIFS(INPUT_DATA!AJ:AJ,INPUT_DATA!$A:$A,$B24,INPUT_DATA!$C:$C,"S"))</f>
        <v>0</v>
      </c>
      <c r="AL24" s="312">
        <f>IF($B24=0,"",SUMIFS(INPUT_DATA!AK:AK,INPUT_DATA!$A:$A,$B24,INPUT_DATA!$C:$C,"S"))</f>
        <v>0</v>
      </c>
      <c r="AM24" s="312">
        <f>IF($B24=0,"",SUMIFS(INPUT_DATA!AL:AL,INPUT_DATA!$A:$A,$B24,INPUT_DATA!$C:$C,"S"))</f>
        <v>0</v>
      </c>
      <c r="AN24" s="312">
        <f>IF($B24=0,"",SUMIFS(INPUT_DATA!AM:AM,INPUT_DATA!$A:$A,$B24,INPUT_DATA!$C:$C,"S"))</f>
        <v>0</v>
      </c>
      <c r="AO24" s="312">
        <f>IF($B24=0,"",SUMIFS(INPUT_DATA!AN:AN,INPUT_DATA!$A:$A,$B24,INPUT_DATA!$C:$C,"S"))</f>
        <v>0</v>
      </c>
      <c r="AP24" s="312">
        <f>IF($B24=0,"",SUMIFS(INPUT_DATA!AO:AO,INPUT_DATA!$A:$A,$B24,INPUT_DATA!$C:$C,"S"))</f>
        <v>0</v>
      </c>
      <c r="AQ24" s="312">
        <f>IF($B24=0,"",SUMIFS(INPUT_DATA!AP:AP,INPUT_DATA!$A:$A,$B24,INPUT_DATA!$C:$C,"S"))</f>
        <v>0</v>
      </c>
      <c r="AR24" s="312">
        <f>IF($B24=0,"",SUMIFS(INPUT_DATA!AQ:AQ,INPUT_DATA!$A:$A,$B24,INPUT_DATA!$C:$C,"S"))</f>
        <v>0</v>
      </c>
      <c r="AS24" s="1034">
        <f t="shared" si="29"/>
        <v>86286.68</v>
      </c>
      <c r="AT24" s="1035">
        <f t="shared" si="30"/>
        <v>6989.130000000001</v>
      </c>
      <c r="AU24" s="1036">
        <f t="shared" si="31"/>
        <v>0</v>
      </c>
      <c r="AV24" s="1034">
        <f>IF($B24=0,"",SUMIFS(INPUT_DATA!AR:AR,INPUT_DATA!$A:$A,$B24,INPUT_DATA!$C:$C,"S"))</f>
        <v>86286.68</v>
      </c>
      <c r="AW24" s="1035">
        <f>IF($B24=0,"",SUMIFS(INPUT_DATA!AS:AS,INPUT_DATA!$A:$A,$B24,INPUT_DATA!$C:$C,"S"))</f>
        <v>6989.13</v>
      </c>
      <c r="AX24" s="1036">
        <f>IF($B24=0,"",SUMIFS(INPUT_DATA!AT:AT,INPUT_DATA!$A:$A,$B24,INPUT_DATA!$C:$C,"S"))</f>
        <v>0</v>
      </c>
      <c r="AY24" s="1034">
        <f t="shared" si="15"/>
        <v>0</v>
      </c>
      <c r="AZ24" s="1035">
        <f t="shared" si="16"/>
        <v>9.0949470177292824E-13</v>
      </c>
      <c r="BA24" s="1036">
        <f t="shared" si="17"/>
        <v>0</v>
      </c>
      <c r="BB24" s="150"/>
      <c r="BC24" s="1031">
        <f>IF($B24=0,"",SUMIFS(INPUT_DATA!D:D,INPUT_DATA!$A:$A,$B24,INPUT_DATA!$C:$C,"D"))</f>
        <v>0</v>
      </c>
      <c r="BD24" s="311">
        <f>IF($B24=0,"",SUMIFS(INPUT_DATA!F:F,INPUT_DATA!$A:$A,$B24,INPUT_DATA!$C:$C,"D"))</f>
        <v>0</v>
      </c>
      <c r="BE24" s="311">
        <f>IF($B24=0,"",SUMIFS(INPUT_DATA!G:G,INPUT_DATA!$A:$A,$B24,INPUT_DATA!$C:$C,"D"))</f>
        <v>0</v>
      </c>
      <c r="BF24" s="311">
        <f>IF($B24=0,"",SUMIFS(INPUT_DATA!H:H,INPUT_DATA!$A:$A,$B24,INPUT_DATA!$C:$C,"D"))</f>
        <v>0</v>
      </c>
      <c r="BG24" s="311">
        <f>IF($B24=0,"",SUMIFS(INPUT_DATA!I:I,INPUT_DATA!$A:$A,$B24,INPUT_DATA!$C:$C,"D"))</f>
        <v>0</v>
      </c>
      <c r="BH24" s="311">
        <f>IF($B24=0,"",SUMIFS(INPUT_DATA!J:J,INPUT_DATA!$A:$A,$B24,INPUT_DATA!$C:$C,"D"))</f>
        <v>0</v>
      </c>
      <c r="BI24" s="311">
        <f>IF($B24=0,"",SUMIFS(INPUT_DATA!K:K,INPUT_DATA!$A:$A,$B24,INPUT_DATA!$C:$C,"D"))</f>
        <v>0</v>
      </c>
      <c r="BJ24" s="311">
        <f>IF($B24=0,"",SUMIFS(INPUT_DATA!L:L,INPUT_DATA!$A:$A,$B24,INPUT_DATA!$C:$C,"D"))</f>
        <v>0</v>
      </c>
      <c r="BK24" s="311">
        <f>IF($B24=0,"",SUMIFS(INPUT_DATA!M:M,INPUT_DATA!$A:$A,$B24,INPUT_DATA!$C:$C,"D"))</f>
        <v>0</v>
      </c>
      <c r="BL24" s="311">
        <f>IF($B24=0,"",SUMIFS(INPUT_DATA!N:N,INPUT_DATA!$A:$A,$B24,INPUT_DATA!$C:$C,"D"))</f>
        <v>0</v>
      </c>
      <c r="BM24" s="311">
        <f>IF($B24=0,"",SUMIFS(INPUT_DATA!O:O,INPUT_DATA!$A:$A,$B24,INPUT_DATA!$C:$C,"D"))</f>
        <v>0</v>
      </c>
      <c r="BN24" s="1037">
        <f t="shared" si="18"/>
        <v>0</v>
      </c>
      <c r="BO24" s="1037">
        <f>IF($B24=0,"",SUMIFS(INPUT_DATA!O:O,INPUT_DATA!$A:$A,$B24,INPUT_DATA!$C:$C,"D"))</f>
        <v>0</v>
      </c>
      <c r="BP24" s="1037">
        <f t="shared" si="19"/>
        <v>0</v>
      </c>
      <c r="BQ24" s="1031">
        <f>IF($B24=0,"",SUMIFS(INPUT_DATA!Q:Q,INPUT_DATA!$A:$A,$B24,INPUT_DATA!$C:$C,"D"))</f>
        <v>0</v>
      </c>
      <c r="BR24" s="1038">
        <f>IF($B24=0,"",SUMIFS(INPUT_DATA!R:R,INPUT_DATA!$A:$A,$B24,INPUT_DATA!$C:$C,"D"))</f>
        <v>0</v>
      </c>
      <c r="BS24" s="1038">
        <f>IF($B24=0,"",SUMIFS(INPUT_DATA!S:S,INPUT_DATA!$A:$A,$B24,INPUT_DATA!$C:$C,"D"))</f>
        <v>0</v>
      </c>
      <c r="BT24" s="311">
        <f>IF($B24=0,"",SUMIFS(INPUT_DATA!T:T,INPUT_DATA!$A:$A,$B24,INPUT_DATA!$C:$C,"D"))</f>
        <v>0</v>
      </c>
      <c r="BU24" s="311">
        <f>IF($B24=0,"",SUMIFS(INPUT_DATA!U:U,INPUT_DATA!$A:$A,$B24,INPUT_DATA!$C:$C,"D"))</f>
        <v>0</v>
      </c>
      <c r="BV24" s="311">
        <f>IF($B24=0,"",SUMIFS(INPUT_DATA!V:V,INPUT_DATA!$A:$A,$B24,INPUT_DATA!$C:$C,"D"))</f>
        <v>0</v>
      </c>
      <c r="BW24" s="311">
        <f>IF($B24=0,"",SUMIFS(INPUT_DATA!W:W,INPUT_DATA!$A:$A,$B24,INPUT_DATA!$C:$C,"D"))</f>
        <v>0</v>
      </c>
      <c r="BX24" s="311">
        <f>IF($B24=0,"",SUMIFS(INPUT_DATA!X:X,INPUT_DATA!$A:$A,$B24,INPUT_DATA!$C:$C,"D"))</f>
        <v>0</v>
      </c>
      <c r="BY24" s="311">
        <f>IF($B24=0,"",SUMIFS(INPUT_DATA!Y:Y,INPUT_DATA!$A:$A,$B24,INPUT_DATA!$C:$C,"D"))</f>
        <v>0</v>
      </c>
      <c r="BZ24" s="352">
        <f>IF($B24=0,"",SUMIFS(INPUT_DATA!Z:Z,INPUT_DATA!$A:$A,$B24,INPUT_DATA!$C:$C,"D"))</f>
        <v>0</v>
      </c>
      <c r="CA24" s="352">
        <f>IF($B24=0,"",SUMIFS(INPUT_DATA!AA:AA,INPUT_DATA!$A:$A,$B24,INPUT_DATA!$C:$C,"D"))</f>
        <v>0</v>
      </c>
      <c r="CB24" s="352">
        <f>IF($B24=0,"",SUMIFS(INPUT_DATA!AB:AB,INPUT_DATA!$A:$A,$B24,INPUT_DATA!$C:$C,"D"))</f>
        <v>0</v>
      </c>
      <c r="CC24" s="311">
        <f>IF($B24=0,"",SUMIFS(INPUT_DATA!AC:AC,INPUT_DATA!$A:$A,$B24,INPUT_DATA!$C:$C,"D"))</f>
        <v>0</v>
      </c>
      <c r="CD24" s="311">
        <f>IF($B24=0,"",SUMIFS(INPUT_DATA!AD:AD,INPUT_DATA!$A:$A,$B24,INPUT_DATA!$C:$C,"D"))</f>
        <v>0</v>
      </c>
      <c r="CE24" s="311">
        <f>IF($B24=0,"",SUMIFS(INPUT_DATA!AE:AE,INPUT_DATA!$A:$A,$B24,INPUT_DATA!$C:$C,"D"))</f>
        <v>0</v>
      </c>
      <c r="CF24" s="352">
        <f>IF($B24=0,"",SUMIFS(INPUT_DATA!AF:AF,INPUT_DATA!$A:$A,$B24,INPUT_DATA!$C:$C,"D"))</f>
        <v>0</v>
      </c>
      <c r="CG24" s="352">
        <f>IF($B24=0,"",SUMIFS(INPUT_DATA!AG:AG,INPUT_DATA!$A:$A,$B24,INPUT_DATA!$C:$C,"D"))</f>
        <v>0</v>
      </c>
      <c r="CH24" s="352">
        <f>IF($B24=0,"",SUMIFS(INPUT_DATA!AH:AH,INPUT_DATA!$A:$A,$B24,INPUT_DATA!$C:$C,"D"))</f>
        <v>0</v>
      </c>
      <c r="CI24" s="153">
        <f>IF($B24=0,"",SUMIFS(INPUT_DATA!AI:AI,INPUT_DATA!$A:$A,$B24,INPUT_DATA!$C:$C,"D"))</f>
        <v>0</v>
      </c>
      <c r="CJ24" s="153">
        <f>IF($B24=0,"",SUMIFS(INPUT_DATA!AJ:AJ,INPUT_DATA!$A:$A,$B24,INPUT_DATA!$C:$C,"D"))</f>
        <v>0</v>
      </c>
      <c r="CK24" s="153">
        <f>IF($B24=0,"",SUMIFS(INPUT_DATA!AK:AK,INPUT_DATA!$A:$A,$B24,INPUT_DATA!$C:$C,"D"))</f>
        <v>0</v>
      </c>
      <c r="CL24" s="153">
        <f>IF($B24=0,"",SUMIFS(INPUT_DATA!AL:AL,INPUT_DATA!$A:$A,$B24,INPUT_DATA!$C:$C,"D"))</f>
        <v>0</v>
      </c>
      <c r="CM24" s="153">
        <f>IF($B24=0,"",SUMIFS(INPUT_DATA!AM:AM,INPUT_DATA!$A:$A,$B24,INPUT_DATA!$C:$C,"D"))</f>
        <v>0</v>
      </c>
      <c r="CN24" s="153">
        <f>IF($B24=0,"",SUMIFS(INPUT_DATA!AN:AN,INPUT_DATA!$A:$A,$B24,INPUT_DATA!$C:$C,"D"))</f>
        <v>0</v>
      </c>
      <c r="CO24" s="153">
        <f>IF($B24=0,"",SUMIFS(INPUT_DATA!AO:AO,INPUT_DATA!$A:$A,$B24,INPUT_DATA!$C:$C,"D"))</f>
        <v>0</v>
      </c>
      <c r="CP24" s="153">
        <f>IF($B24=0,"",SUMIFS(INPUT_DATA!AP:AP,INPUT_DATA!$A:$A,$B24,INPUT_DATA!$C:$C,"D"))</f>
        <v>0</v>
      </c>
      <c r="CQ24" s="153">
        <f>IF($B24=0,"",SUMIFS(INPUT_DATA!AQ:AQ,INPUT_DATA!$A:$A,$B24,INPUT_DATA!$C:$C,"D"))</f>
        <v>0</v>
      </c>
      <c r="CR24" s="1035">
        <f t="shared" si="32"/>
        <v>0</v>
      </c>
      <c r="CS24" s="1035">
        <f t="shared" si="33"/>
        <v>0</v>
      </c>
      <c r="CT24" s="1035">
        <f t="shared" si="34"/>
        <v>0</v>
      </c>
      <c r="CU24" s="366">
        <f>IF($B24=0,"",SUMIFS(INPUT_DATA!AR:AR,INPUT_DATA!$A:$A,$B24,INPUT_DATA!$C:$C,"D"))</f>
        <v>0</v>
      </c>
      <c r="CV24" s="366">
        <f>IF($B24=0,"",SUMIFS(INPUT_DATA!AS:AS,INPUT_DATA!$A:$A,$B24,INPUT_DATA!$C:$C,"D"))</f>
        <v>0</v>
      </c>
      <c r="CW24" s="366">
        <f>IF($B24=0,"",SUMIFS(INPUT_DATA!AT:AT,INPUT_DATA!$A:$A,$B24,INPUT_DATA!$C:$C,"D"))</f>
        <v>0</v>
      </c>
      <c r="CX24" s="366">
        <f t="shared" si="35"/>
        <v>0</v>
      </c>
      <c r="CY24" s="1035">
        <f t="shared" si="36"/>
        <v>0</v>
      </c>
      <c r="CZ24" s="1039">
        <f t="shared" si="37"/>
        <v>0</v>
      </c>
      <c r="DA24" s="150"/>
    </row>
    <row r="25" spans="2:105" x14ac:dyDescent="0.2">
      <c r="B25" s="720">
        <f>INPUT_DATA!BQ12</f>
        <v>45322</v>
      </c>
      <c r="C25" s="1031">
        <f>IF($B25=0,"",SUMIFS(INPUT_DATA!D:D,INPUT_DATA!$A:$A,$B25,INPUT_DATA!$C:$C,"S"))</f>
        <v>739186357.27999997</v>
      </c>
      <c r="D25" s="366">
        <f>IF($B25=0,"",SUMIFS(INPUT_DATA!E:E,INPUT_DATA!$A:$A,$B25,INPUT_DATA!$C:$C,"S"))</f>
        <v>0</v>
      </c>
      <c r="E25" s="153">
        <f>IF($B25=0,"",SUMIFS(INPUT_DATA!F:F,INPUT_DATA!$A:$A,$B25,INPUT_DATA!$C:$C,"S"))</f>
        <v>5002402.3099999996</v>
      </c>
      <c r="F25" s="153">
        <f>IF($B25=0,"",SUMIFS(INPUT_DATA!G:G,INPUT_DATA!$A:$A,$B25,INPUT_DATA!$C:$C,"S"))</f>
        <v>1486537.02</v>
      </c>
      <c r="G25" s="153">
        <f>IF($B25=0,"",SUMIFS(INPUT_DATA!H:H,INPUT_DATA!$A:$A,$B25,INPUT_DATA!$C:$C,"S"))</f>
        <v>0</v>
      </c>
      <c r="H25" s="153">
        <f>IF($B25=0,"",SUMIFS(INPUT_DATA!I:I,INPUT_DATA!$A:$A,$B25,INPUT_DATA!$C:$C,"S"))</f>
        <v>80.05</v>
      </c>
      <c r="I25" s="153">
        <f>IF($B25=0,"",SUMIFS(INPUT_DATA!J:J,INPUT_DATA!$A:$A,$B25,INPUT_DATA!$C:$C,"S"))</f>
        <v>0</v>
      </c>
      <c r="J25" s="153">
        <f>IF($B25=0,"",SUMIFS(INPUT_DATA!K:K,INPUT_DATA!$A:$A,$B25,INPUT_DATA!$C:$C,"S"))</f>
        <v>0</v>
      </c>
      <c r="K25" s="153">
        <f>IF($B25=0,"",SUMIFS(INPUT_DATA!L:L,INPUT_DATA!$A:$A,$B25,INPUT_DATA!$C:$C,"S"))</f>
        <v>0</v>
      </c>
      <c r="L25" s="153">
        <f>IF($B25=0,"",SUMIFS(INPUT_DATA!M:M,INPUT_DATA!$A:$A,$B25,INPUT_DATA!$C:$C,"S"))</f>
        <v>0</v>
      </c>
      <c r="M25" s="153">
        <f>IF($B25=0,"",SUMIFS(INPUT_DATA!N:N,INPUT_DATA!$A:$A,$B25,INPUT_DATA!$C:$C,"S"))</f>
        <v>0</v>
      </c>
      <c r="N25" s="153">
        <f>IF($B25=0,"",SUMIFS(INPUT_DATA!O:O,INPUT_DATA!$A:$A,$B25,INPUT_DATA!$C:$C,"S"))</f>
        <v>0</v>
      </c>
      <c r="O25" s="1032">
        <f t="shared" si="38"/>
        <v>732697498</v>
      </c>
      <c r="P25" s="1033">
        <f>IF($B25=0,"",SUMIFS(INPUT_DATA!P:P,INPUT_DATA!$A:$A,$B25,INPUT_DATA!$C:$C,"S"))</f>
        <v>732697498</v>
      </c>
      <c r="Q25" s="1033">
        <f t="shared" si="39"/>
        <v>0</v>
      </c>
      <c r="R25" s="312">
        <f>IF($B25=0,"",SUMIFS(INPUT_DATA!Q:Q,INPUT_DATA!$A:$A,$B25,INPUT_DATA!$C:$C,"S"))</f>
        <v>92529.64</v>
      </c>
      <c r="S25" s="312">
        <f>IF($B25=0,"",SUMIFS(INPUT_DATA!R:R,INPUT_DATA!$A:$A,$B25,INPUT_DATA!$C:$C,"S"))</f>
        <v>10202.25</v>
      </c>
      <c r="T25" s="312">
        <f>IF($B25=0,"",SUMIFS(INPUT_DATA!S:S,INPUT_DATA!$A:$A,$B25,INPUT_DATA!$C:$C,"S"))</f>
        <v>0</v>
      </c>
      <c r="U25" s="312">
        <f>IF($B25=0,"",SUMIFS(INPUT_DATA!T:T,INPUT_DATA!$A:$A,$B25,INPUT_DATA!$C:$C,"S"))</f>
        <v>69781.22</v>
      </c>
      <c r="V25" s="312">
        <f>IF($B25=0,"",SUMIFS(INPUT_DATA!U:U,INPUT_DATA!$A:$A,$B25,INPUT_DATA!$C:$C,"S"))</f>
        <v>8565.07</v>
      </c>
      <c r="W25" s="312">
        <f>IF($B25=0,"",SUMIFS(INPUT_DATA!V:V,INPUT_DATA!$A:$A,$B25,INPUT_DATA!$C:$C,"S"))</f>
        <v>0</v>
      </c>
      <c r="X25" s="312">
        <f>IF($B25=0,"",SUMIFS(INPUT_DATA!W:W,INPUT_DATA!$A:$A,$B25,INPUT_DATA!$C:$C,"S"))</f>
        <v>87199.01</v>
      </c>
      <c r="Y25" s="312">
        <f>IF($B25=0,"",SUMIFS(INPUT_DATA!X:X,INPUT_DATA!$A:$A,$B25,INPUT_DATA!$C:$C,"S"))</f>
        <v>9985.4699999999993</v>
      </c>
      <c r="Z25" s="312">
        <f>IF($B25=0,"",SUMIFS(INPUT_DATA!Y:Y,INPUT_DATA!$A:$A,$B25,INPUT_DATA!$C:$C,"S"))</f>
        <v>0</v>
      </c>
      <c r="AA25" s="312">
        <f>IF($B25=0,"",SUMIFS(INPUT_DATA!Z:Z,INPUT_DATA!$A:$A,$B25,INPUT_DATA!$C:$C,"S"))</f>
        <v>0</v>
      </c>
      <c r="AB25" s="312">
        <f>IF($B25=0,"",SUMIFS(INPUT_DATA!AA:AA,INPUT_DATA!$A:$A,$B25,INPUT_DATA!$C:$C,"S"))</f>
        <v>0</v>
      </c>
      <c r="AC25" s="312">
        <f>IF($B25=0,"",SUMIFS(INPUT_DATA!AB:AB,INPUT_DATA!$A:$A,$B25,INPUT_DATA!$C:$C,"S"))</f>
        <v>0</v>
      </c>
      <c r="AD25" s="312">
        <f>IF($B25=0,"",SUMIFS(INPUT_DATA!AC:AC,INPUT_DATA!$A:$A,$B25,INPUT_DATA!$C:$C,"S"))</f>
        <v>0</v>
      </c>
      <c r="AE25" s="312">
        <f>IF($B25=0,"",SUMIFS(INPUT_DATA!AD:AD,INPUT_DATA!$A:$A,$B25,INPUT_DATA!$C:$C,"S"))</f>
        <v>0</v>
      </c>
      <c r="AF25" s="312">
        <f>IF($B25=0,"",SUMIFS(INPUT_DATA!AE:AE,INPUT_DATA!$A:$A,$B25,INPUT_DATA!$C:$C,"S"))</f>
        <v>0</v>
      </c>
      <c r="AG25" s="312">
        <f>IF($B25=0,"",SUMIFS(INPUT_DATA!AF:AF,INPUT_DATA!$A:$A,$B25,INPUT_DATA!$C:$C,"S"))</f>
        <v>0</v>
      </c>
      <c r="AH25" s="312">
        <f>IF($B25=0,"",SUMIFS(INPUT_DATA!AG:AG,INPUT_DATA!$A:$A,$B25,INPUT_DATA!$C:$C,"S"))</f>
        <v>0</v>
      </c>
      <c r="AI25" s="312">
        <f>IF($B25=0,"",SUMIFS(INPUT_DATA!AH:AH,INPUT_DATA!$A:$A,$B25,INPUT_DATA!$C:$C,"S"))</f>
        <v>0</v>
      </c>
      <c r="AJ25" s="312">
        <f>IF($B25=0,"",SUMIFS(INPUT_DATA!AI:AI,INPUT_DATA!$A:$A,$B25,INPUT_DATA!$C:$C,"S"))</f>
        <v>0</v>
      </c>
      <c r="AK25" s="312">
        <f>IF($B25=0,"",SUMIFS(INPUT_DATA!AJ:AJ,INPUT_DATA!$A:$A,$B25,INPUT_DATA!$C:$C,"S"))</f>
        <v>0</v>
      </c>
      <c r="AL25" s="312">
        <f>IF($B25=0,"",SUMIFS(INPUT_DATA!AK:AK,INPUT_DATA!$A:$A,$B25,INPUT_DATA!$C:$C,"S"))</f>
        <v>0</v>
      </c>
      <c r="AM25" s="312">
        <f>IF($B25=0,"",SUMIFS(INPUT_DATA!AL:AL,INPUT_DATA!$A:$A,$B25,INPUT_DATA!$C:$C,"S"))</f>
        <v>0</v>
      </c>
      <c r="AN25" s="312">
        <f>IF($B25=0,"",SUMIFS(INPUT_DATA!AM:AM,INPUT_DATA!$A:$A,$B25,INPUT_DATA!$C:$C,"S"))</f>
        <v>0</v>
      </c>
      <c r="AO25" s="312">
        <f>IF($B25=0,"",SUMIFS(INPUT_DATA!AN:AN,INPUT_DATA!$A:$A,$B25,INPUT_DATA!$C:$C,"S"))</f>
        <v>0</v>
      </c>
      <c r="AP25" s="312">
        <f>IF($B25=0,"",SUMIFS(INPUT_DATA!AO:AO,INPUT_DATA!$A:$A,$B25,INPUT_DATA!$C:$C,"S"))</f>
        <v>0</v>
      </c>
      <c r="AQ25" s="312">
        <f>IF($B25=0,"",SUMIFS(INPUT_DATA!AP:AP,INPUT_DATA!$A:$A,$B25,INPUT_DATA!$C:$C,"S"))</f>
        <v>0</v>
      </c>
      <c r="AR25" s="312">
        <f>IF($B25=0,"",SUMIFS(INPUT_DATA!AQ:AQ,INPUT_DATA!$A:$A,$B25,INPUT_DATA!$C:$C,"S"))</f>
        <v>0</v>
      </c>
      <c r="AS25" s="1034">
        <f t="shared" si="29"/>
        <v>75111.849999999991</v>
      </c>
      <c r="AT25" s="1035">
        <f t="shared" si="30"/>
        <v>8781.85</v>
      </c>
      <c r="AU25" s="1036">
        <f t="shared" si="31"/>
        <v>0</v>
      </c>
      <c r="AV25" s="1034">
        <f>IF($B25=0,"",SUMIFS(INPUT_DATA!AR:AR,INPUT_DATA!$A:$A,$B25,INPUT_DATA!$C:$C,"S"))</f>
        <v>75111.850000000006</v>
      </c>
      <c r="AW25" s="1035">
        <f>IF($B25=0,"",SUMIFS(INPUT_DATA!AS:AS,INPUT_DATA!$A:$A,$B25,INPUT_DATA!$C:$C,"S"))</f>
        <v>8781.85</v>
      </c>
      <c r="AX25" s="1036">
        <f>IF($B25=0,"",SUMIFS(INPUT_DATA!AT:AT,INPUT_DATA!$A:$A,$B25,INPUT_DATA!$C:$C,"S"))</f>
        <v>0</v>
      </c>
      <c r="AY25" s="1034">
        <f t="shared" si="15"/>
        <v>-1.4551915228366852E-11</v>
      </c>
      <c r="AZ25" s="1035">
        <f t="shared" si="16"/>
        <v>0</v>
      </c>
      <c r="BA25" s="1036">
        <f t="shared" si="17"/>
        <v>0</v>
      </c>
      <c r="BB25" s="150"/>
      <c r="BC25" s="1031">
        <f>IF($B25=0,"",SUMIFS(INPUT_DATA!D:D,INPUT_DATA!$A:$A,$B25,INPUT_DATA!$C:$C,"D"))</f>
        <v>0</v>
      </c>
      <c r="BD25" s="311">
        <f>IF($B25=0,"",SUMIFS(INPUT_DATA!F:F,INPUT_DATA!$A:$A,$B25,INPUT_DATA!$C:$C,"D"))</f>
        <v>0</v>
      </c>
      <c r="BE25" s="311">
        <f>IF($B25=0,"",SUMIFS(INPUT_DATA!G:G,INPUT_DATA!$A:$A,$B25,INPUT_DATA!$C:$C,"D"))</f>
        <v>0</v>
      </c>
      <c r="BF25" s="311">
        <f>IF($B25=0,"",SUMIFS(INPUT_DATA!H:H,INPUT_DATA!$A:$A,$B25,INPUT_DATA!$C:$C,"D"))</f>
        <v>0</v>
      </c>
      <c r="BG25" s="311">
        <f>IF($B25=0,"",SUMIFS(INPUT_DATA!I:I,INPUT_DATA!$A:$A,$B25,INPUT_DATA!$C:$C,"D"))</f>
        <v>0</v>
      </c>
      <c r="BH25" s="311">
        <f>IF($B25=0,"",SUMIFS(INPUT_DATA!J:J,INPUT_DATA!$A:$A,$B25,INPUT_DATA!$C:$C,"D"))</f>
        <v>0</v>
      </c>
      <c r="BI25" s="311">
        <f>IF($B25=0,"",SUMIFS(INPUT_DATA!K:K,INPUT_DATA!$A:$A,$B25,INPUT_DATA!$C:$C,"D"))</f>
        <v>0</v>
      </c>
      <c r="BJ25" s="311">
        <f>IF($B25=0,"",SUMIFS(INPUT_DATA!L:L,INPUT_DATA!$A:$A,$B25,INPUT_DATA!$C:$C,"D"))</f>
        <v>0</v>
      </c>
      <c r="BK25" s="311">
        <f>IF($B25=0,"",SUMIFS(INPUT_DATA!M:M,INPUT_DATA!$A:$A,$B25,INPUT_DATA!$C:$C,"D"))</f>
        <v>0</v>
      </c>
      <c r="BL25" s="311">
        <f>IF($B25=0,"",SUMIFS(INPUT_DATA!N:N,INPUT_DATA!$A:$A,$B25,INPUT_DATA!$C:$C,"D"))</f>
        <v>0</v>
      </c>
      <c r="BM25" s="311">
        <f>IF($B25=0,"",SUMIFS(INPUT_DATA!O:O,INPUT_DATA!$A:$A,$B25,INPUT_DATA!$C:$C,"D"))</f>
        <v>0</v>
      </c>
      <c r="BN25" s="1037">
        <f t="shared" si="18"/>
        <v>0</v>
      </c>
      <c r="BO25" s="1037">
        <f>IF($B25=0,"",SUMIFS(INPUT_DATA!O:O,INPUT_DATA!$A:$A,$B25,INPUT_DATA!$C:$C,"D"))</f>
        <v>0</v>
      </c>
      <c r="BP25" s="1037">
        <f t="shared" si="19"/>
        <v>0</v>
      </c>
      <c r="BQ25" s="1031">
        <f>IF($B25=0,"",SUMIFS(INPUT_DATA!Q:Q,INPUT_DATA!$A:$A,$B25,INPUT_DATA!$C:$C,"D"))</f>
        <v>0</v>
      </c>
      <c r="BR25" s="1038">
        <f>IF($B25=0,"",SUMIFS(INPUT_DATA!R:R,INPUT_DATA!$A:$A,$B25,INPUT_DATA!$C:$C,"D"))</f>
        <v>0</v>
      </c>
      <c r="BS25" s="1038">
        <f>IF($B25=0,"",SUMIFS(INPUT_DATA!S:S,INPUT_DATA!$A:$A,$B25,INPUT_DATA!$C:$C,"D"))</f>
        <v>0</v>
      </c>
      <c r="BT25" s="311">
        <f>IF($B25=0,"",SUMIFS(INPUT_DATA!T:T,INPUT_DATA!$A:$A,$B25,INPUT_DATA!$C:$C,"D"))</f>
        <v>0</v>
      </c>
      <c r="BU25" s="311">
        <f>IF($B25=0,"",SUMIFS(INPUT_DATA!U:U,INPUT_DATA!$A:$A,$B25,INPUT_DATA!$C:$C,"D"))</f>
        <v>0</v>
      </c>
      <c r="BV25" s="311">
        <f>IF($B25=0,"",SUMIFS(INPUT_DATA!V:V,INPUT_DATA!$A:$A,$B25,INPUT_DATA!$C:$C,"D"))</f>
        <v>0</v>
      </c>
      <c r="BW25" s="311">
        <f>IF($B25=0,"",SUMIFS(INPUT_DATA!W:W,INPUT_DATA!$A:$A,$B25,INPUT_DATA!$C:$C,"D"))</f>
        <v>0</v>
      </c>
      <c r="BX25" s="311">
        <f>IF($B25=0,"",SUMIFS(INPUT_DATA!X:X,INPUT_DATA!$A:$A,$B25,INPUT_DATA!$C:$C,"D"))</f>
        <v>0</v>
      </c>
      <c r="BY25" s="311">
        <f>IF($B25=0,"",SUMIFS(INPUT_DATA!Y:Y,INPUT_DATA!$A:$A,$B25,INPUT_DATA!$C:$C,"D"))</f>
        <v>0</v>
      </c>
      <c r="BZ25" s="352">
        <f>IF($B25=0,"",SUMIFS(INPUT_DATA!Z:Z,INPUT_DATA!$A:$A,$B25,INPUT_DATA!$C:$C,"D"))</f>
        <v>0</v>
      </c>
      <c r="CA25" s="352">
        <f>IF($B25=0,"",SUMIFS(INPUT_DATA!AA:AA,INPUT_DATA!$A:$A,$B25,INPUT_DATA!$C:$C,"D"))</f>
        <v>0</v>
      </c>
      <c r="CB25" s="352">
        <f>IF($B25=0,"",SUMIFS(INPUT_DATA!AB:AB,INPUT_DATA!$A:$A,$B25,INPUT_DATA!$C:$C,"D"))</f>
        <v>0</v>
      </c>
      <c r="CC25" s="311">
        <f>IF($B25=0,"",SUMIFS(INPUT_DATA!AC:AC,INPUT_DATA!$A:$A,$B25,INPUT_DATA!$C:$C,"D"))</f>
        <v>0</v>
      </c>
      <c r="CD25" s="311">
        <f>IF($B25=0,"",SUMIFS(INPUT_DATA!AD:AD,INPUT_DATA!$A:$A,$B25,INPUT_DATA!$C:$C,"D"))</f>
        <v>0</v>
      </c>
      <c r="CE25" s="311">
        <f>IF($B25=0,"",SUMIFS(INPUT_DATA!AE:AE,INPUT_DATA!$A:$A,$B25,INPUT_DATA!$C:$C,"D"))</f>
        <v>0</v>
      </c>
      <c r="CF25" s="352">
        <f>IF($B25=0,"",SUMIFS(INPUT_DATA!AF:AF,INPUT_DATA!$A:$A,$B25,INPUT_DATA!$C:$C,"D"))</f>
        <v>0</v>
      </c>
      <c r="CG25" s="352">
        <f>IF($B25=0,"",SUMIFS(INPUT_DATA!AG:AG,INPUT_DATA!$A:$A,$B25,INPUT_DATA!$C:$C,"D"))</f>
        <v>0</v>
      </c>
      <c r="CH25" s="352">
        <f>IF($B25=0,"",SUMIFS(INPUT_DATA!AH:AH,INPUT_DATA!$A:$A,$B25,INPUT_DATA!$C:$C,"D"))</f>
        <v>0</v>
      </c>
      <c r="CI25" s="153">
        <f>IF($B25=0,"",SUMIFS(INPUT_DATA!AI:AI,INPUT_DATA!$A:$A,$B25,INPUT_DATA!$C:$C,"D"))</f>
        <v>0</v>
      </c>
      <c r="CJ25" s="153">
        <f>IF($B25=0,"",SUMIFS(INPUT_DATA!AJ:AJ,INPUT_DATA!$A:$A,$B25,INPUT_DATA!$C:$C,"D"))</f>
        <v>0</v>
      </c>
      <c r="CK25" s="153">
        <f>IF($B25=0,"",SUMIFS(INPUT_DATA!AK:AK,INPUT_DATA!$A:$A,$B25,INPUT_DATA!$C:$C,"D"))</f>
        <v>0</v>
      </c>
      <c r="CL25" s="153">
        <f>IF($B25=0,"",SUMIFS(INPUT_DATA!AL:AL,INPUT_DATA!$A:$A,$B25,INPUT_DATA!$C:$C,"D"))</f>
        <v>0</v>
      </c>
      <c r="CM25" s="153">
        <f>IF($B25=0,"",SUMIFS(INPUT_DATA!AM:AM,INPUT_DATA!$A:$A,$B25,INPUT_DATA!$C:$C,"D"))</f>
        <v>0</v>
      </c>
      <c r="CN25" s="153">
        <f>IF($B25=0,"",SUMIFS(INPUT_DATA!AN:AN,INPUT_DATA!$A:$A,$B25,INPUT_DATA!$C:$C,"D"))</f>
        <v>0</v>
      </c>
      <c r="CO25" s="153">
        <f>IF($B25=0,"",SUMIFS(INPUT_DATA!AO:AO,INPUT_DATA!$A:$A,$B25,INPUT_DATA!$C:$C,"D"))</f>
        <v>0</v>
      </c>
      <c r="CP25" s="153">
        <f>IF($B25=0,"",SUMIFS(INPUT_DATA!AP:AP,INPUT_DATA!$A:$A,$B25,INPUT_DATA!$C:$C,"D"))</f>
        <v>0</v>
      </c>
      <c r="CQ25" s="153">
        <f>IF($B25=0,"",SUMIFS(INPUT_DATA!AQ:AQ,INPUT_DATA!$A:$A,$B25,INPUT_DATA!$C:$C,"D"))</f>
        <v>0</v>
      </c>
      <c r="CR25" s="1035">
        <f t="shared" si="32"/>
        <v>0</v>
      </c>
      <c r="CS25" s="1035">
        <f t="shared" si="33"/>
        <v>0</v>
      </c>
      <c r="CT25" s="1035">
        <f t="shared" si="34"/>
        <v>0</v>
      </c>
      <c r="CU25" s="366">
        <f>IF($B25=0,"",SUMIFS(INPUT_DATA!AR:AR,INPUT_DATA!$A:$A,$B25,INPUT_DATA!$C:$C,"D"))</f>
        <v>0</v>
      </c>
      <c r="CV25" s="366">
        <f>IF($B25=0,"",SUMIFS(INPUT_DATA!AS:AS,INPUT_DATA!$A:$A,$B25,INPUT_DATA!$C:$C,"D"))</f>
        <v>0</v>
      </c>
      <c r="CW25" s="366">
        <f>IF($B25=0,"",SUMIFS(INPUT_DATA!AT:AT,INPUT_DATA!$A:$A,$B25,INPUT_DATA!$C:$C,"D"))</f>
        <v>0</v>
      </c>
      <c r="CX25" s="366">
        <f t="shared" si="35"/>
        <v>0</v>
      </c>
      <c r="CY25" s="1035">
        <f t="shared" si="36"/>
        <v>0</v>
      </c>
      <c r="CZ25" s="1039">
        <f t="shared" si="37"/>
        <v>0</v>
      </c>
      <c r="DA25" s="150"/>
    </row>
    <row r="26" spans="2:105" x14ac:dyDescent="0.2">
      <c r="B26" s="720">
        <f>INPUT_DATA!BQ13</f>
        <v>45291</v>
      </c>
      <c r="C26" s="1031">
        <f>IF($B26=0,"",SUMIFS(INPUT_DATA!D:D,INPUT_DATA!$A:$A,$B26,INPUT_DATA!$C:$C,"S"))</f>
        <v>744799789.46000004</v>
      </c>
      <c r="D26" s="366">
        <f>IF($B26=0,"",SUMIFS(INPUT_DATA!E:E,INPUT_DATA!$A:$A,$B26,INPUT_DATA!$C:$C,"S"))</f>
        <v>0</v>
      </c>
      <c r="E26" s="153">
        <f>IF($B26=0,"",SUMIFS(INPUT_DATA!F:F,INPUT_DATA!$A:$A,$B26,INPUT_DATA!$C:$C,"S"))</f>
        <v>4997383.97</v>
      </c>
      <c r="F26" s="153">
        <f>IF($B26=0,"",SUMIFS(INPUT_DATA!G:G,INPUT_DATA!$A:$A,$B26,INPUT_DATA!$C:$C,"S"))</f>
        <v>616128.16</v>
      </c>
      <c r="G26" s="153">
        <f>IF($B26=0,"",SUMIFS(INPUT_DATA!H:H,INPUT_DATA!$A:$A,$B26,INPUT_DATA!$C:$C,"S"))</f>
        <v>0</v>
      </c>
      <c r="H26" s="153">
        <f>IF($B26=0,"",SUMIFS(INPUT_DATA!I:I,INPUT_DATA!$A:$A,$B26,INPUT_DATA!$C:$C,"S"))</f>
        <v>79.95</v>
      </c>
      <c r="I26" s="153">
        <f>IF($B26=0,"",SUMIFS(INPUT_DATA!J:J,INPUT_DATA!$A:$A,$B26,INPUT_DATA!$C:$C,"S"))</f>
        <v>0</v>
      </c>
      <c r="J26" s="153">
        <f>IF($B26=0,"",SUMIFS(INPUT_DATA!K:K,INPUT_DATA!$A:$A,$B26,INPUT_DATA!$C:$C,"S"))</f>
        <v>0</v>
      </c>
      <c r="K26" s="153">
        <f>IF($B26=0,"",SUMIFS(INPUT_DATA!L:L,INPUT_DATA!$A:$A,$B26,INPUT_DATA!$C:$C,"S"))</f>
        <v>0</v>
      </c>
      <c r="L26" s="153">
        <f>IF($B26=0,"",SUMIFS(INPUT_DATA!M:M,INPUT_DATA!$A:$A,$B26,INPUT_DATA!$C:$C,"S"))</f>
        <v>0</v>
      </c>
      <c r="M26" s="153">
        <f>IF($B26=0,"",SUMIFS(INPUT_DATA!N:N,INPUT_DATA!$A:$A,$B26,INPUT_DATA!$C:$C,"S"))</f>
        <v>0</v>
      </c>
      <c r="N26" s="153">
        <f>IF($B26=0,"",SUMIFS(INPUT_DATA!O:O,INPUT_DATA!$A:$A,$B26,INPUT_DATA!$C:$C,"S"))</f>
        <v>0</v>
      </c>
      <c r="O26" s="1032">
        <f t="shared" si="38"/>
        <v>739186357.28000009</v>
      </c>
      <c r="P26" s="1033">
        <f>IF($B26=0,"",SUMIFS(INPUT_DATA!P:P,INPUT_DATA!$A:$A,$B26,INPUT_DATA!$C:$C,"S"))</f>
        <v>739186357.27999997</v>
      </c>
      <c r="Q26" s="1033">
        <f t="shared" si="39"/>
        <v>1.1920928955078125E-7</v>
      </c>
      <c r="R26" s="312">
        <f>IF($B26=0,"",SUMIFS(INPUT_DATA!Q:Q,INPUT_DATA!$A:$A,$B26,INPUT_DATA!$C:$C,"S"))</f>
        <v>66580.289999999994</v>
      </c>
      <c r="S26" s="312">
        <f>IF($B26=0,"",SUMIFS(INPUT_DATA!R:R,INPUT_DATA!$A:$A,$B26,INPUT_DATA!$C:$C,"S"))</f>
        <v>8602.0499999999993</v>
      </c>
      <c r="T26" s="312">
        <f>IF($B26=0,"",SUMIFS(INPUT_DATA!S:S,INPUT_DATA!$A:$A,$B26,INPUT_DATA!$C:$C,"S"))</f>
        <v>0</v>
      </c>
      <c r="U26" s="312">
        <f>IF($B26=0,"",SUMIFS(INPUT_DATA!T:T,INPUT_DATA!$A:$A,$B26,INPUT_DATA!$C:$C,"S"))</f>
        <v>85973.3</v>
      </c>
      <c r="V26" s="312">
        <f>IF($B26=0,"",SUMIFS(INPUT_DATA!U:U,INPUT_DATA!$A:$A,$B26,INPUT_DATA!$C:$C,"S"))</f>
        <v>9514.19</v>
      </c>
      <c r="W26" s="312">
        <f>IF($B26=0,"",SUMIFS(INPUT_DATA!V:V,INPUT_DATA!$A:$A,$B26,INPUT_DATA!$C:$C,"S"))</f>
        <v>0</v>
      </c>
      <c r="X26" s="312">
        <f>IF($B26=0,"",SUMIFS(INPUT_DATA!W:W,INPUT_DATA!$A:$A,$B26,INPUT_DATA!$C:$C,"S"))</f>
        <v>60023.95</v>
      </c>
      <c r="Y26" s="312">
        <f>IF($B26=0,"",SUMIFS(INPUT_DATA!X:X,INPUT_DATA!$A:$A,$B26,INPUT_DATA!$C:$C,"S"))</f>
        <v>7913.99</v>
      </c>
      <c r="Z26" s="312">
        <f>IF($B26=0,"",SUMIFS(INPUT_DATA!Y:Y,INPUT_DATA!$A:$A,$B26,INPUT_DATA!$C:$C,"S"))</f>
        <v>0</v>
      </c>
      <c r="AA26" s="312">
        <f>IF($B26=0,"",SUMIFS(INPUT_DATA!Z:Z,INPUT_DATA!$A:$A,$B26,INPUT_DATA!$C:$C,"S"))</f>
        <v>0</v>
      </c>
      <c r="AB26" s="312">
        <f>IF($B26=0,"",SUMIFS(INPUT_DATA!AA:AA,INPUT_DATA!$A:$A,$B26,INPUT_DATA!$C:$C,"S"))</f>
        <v>0</v>
      </c>
      <c r="AC26" s="312">
        <f>IF($B26=0,"",SUMIFS(INPUT_DATA!AB:AB,INPUT_DATA!$A:$A,$B26,INPUT_DATA!$C:$C,"S"))</f>
        <v>0</v>
      </c>
      <c r="AD26" s="312">
        <f>IF($B26=0,"",SUMIFS(INPUT_DATA!AC:AC,INPUT_DATA!$A:$A,$B26,INPUT_DATA!$C:$C,"S"))</f>
        <v>0</v>
      </c>
      <c r="AE26" s="312">
        <f>IF($B26=0,"",SUMIFS(INPUT_DATA!AD:AD,INPUT_DATA!$A:$A,$B26,INPUT_DATA!$C:$C,"S"))</f>
        <v>0</v>
      </c>
      <c r="AF26" s="312">
        <f>IF($B26=0,"",SUMIFS(INPUT_DATA!AE:AE,INPUT_DATA!$A:$A,$B26,INPUT_DATA!$C:$C,"S"))</f>
        <v>0</v>
      </c>
      <c r="AG26" s="312">
        <f>IF($B26=0,"",SUMIFS(INPUT_DATA!AF:AF,INPUT_DATA!$A:$A,$B26,INPUT_DATA!$C:$C,"S"))</f>
        <v>0</v>
      </c>
      <c r="AH26" s="312">
        <f>IF($B26=0,"",SUMIFS(INPUT_DATA!AG:AG,INPUT_DATA!$A:$A,$B26,INPUT_DATA!$C:$C,"S"))</f>
        <v>0</v>
      </c>
      <c r="AI26" s="312">
        <f>IF($B26=0,"",SUMIFS(INPUT_DATA!AH:AH,INPUT_DATA!$A:$A,$B26,INPUT_DATA!$C:$C,"S"))</f>
        <v>0</v>
      </c>
      <c r="AJ26" s="312">
        <f>IF($B26=0,"",SUMIFS(INPUT_DATA!AI:AI,INPUT_DATA!$A:$A,$B26,INPUT_DATA!$C:$C,"S"))</f>
        <v>0</v>
      </c>
      <c r="AK26" s="312">
        <f>IF($B26=0,"",SUMIFS(INPUT_DATA!AJ:AJ,INPUT_DATA!$A:$A,$B26,INPUT_DATA!$C:$C,"S"))</f>
        <v>0</v>
      </c>
      <c r="AL26" s="312">
        <f>IF($B26=0,"",SUMIFS(INPUT_DATA!AK:AK,INPUT_DATA!$A:$A,$B26,INPUT_DATA!$C:$C,"S"))</f>
        <v>0</v>
      </c>
      <c r="AM26" s="312">
        <f>IF($B26=0,"",SUMIFS(INPUT_DATA!AL:AL,INPUT_DATA!$A:$A,$B26,INPUT_DATA!$C:$C,"S"))</f>
        <v>0</v>
      </c>
      <c r="AN26" s="312">
        <f>IF($B26=0,"",SUMIFS(INPUT_DATA!AM:AM,INPUT_DATA!$A:$A,$B26,INPUT_DATA!$C:$C,"S"))</f>
        <v>0</v>
      </c>
      <c r="AO26" s="312">
        <f>IF($B26=0,"",SUMIFS(INPUT_DATA!AN:AN,INPUT_DATA!$A:$A,$B26,INPUT_DATA!$C:$C,"S"))</f>
        <v>0</v>
      </c>
      <c r="AP26" s="312">
        <f>IF($B26=0,"",SUMIFS(INPUT_DATA!AO:AO,INPUT_DATA!$A:$A,$B26,INPUT_DATA!$C:$C,"S"))</f>
        <v>0</v>
      </c>
      <c r="AQ26" s="312">
        <f>IF($B26=0,"",SUMIFS(INPUT_DATA!AP:AP,INPUT_DATA!$A:$A,$B26,INPUT_DATA!$C:$C,"S"))</f>
        <v>0</v>
      </c>
      <c r="AR26" s="312">
        <f>IF($B26=0,"",SUMIFS(INPUT_DATA!AQ:AQ,INPUT_DATA!$A:$A,$B26,INPUT_DATA!$C:$C,"S"))</f>
        <v>0</v>
      </c>
      <c r="AS26" s="1034">
        <f t="shared" si="29"/>
        <v>92529.64</v>
      </c>
      <c r="AT26" s="1035">
        <f t="shared" si="30"/>
        <v>10202.249999999998</v>
      </c>
      <c r="AU26" s="1036">
        <f t="shared" si="31"/>
        <v>0</v>
      </c>
      <c r="AV26" s="1034">
        <f>IF($B26=0,"",SUMIFS(INPUT_DATA!AR:AR,INPUT_DATA!$A:$A,$B26,INPUT_DATA!$C:$C,"S"))</f>
        <v>92529.64</v>
      </c>
      <c r="AW26" s="1035">
        <f>IF($B26=0,"",SUMIFS(INPUT_DATA!AS:AS,INPUT_DATA!$A:$A,$B26,INPUT_DATA!$C:$C,"S"))</f>
        <v>10202.25</v>
      </c>
      <c r="AX26" s="1036">
        <f>IF($B26=0,"",SUMIFS(INPUT_DATA!AT:AT,INPUT_DATA!$A:$A,$B26,INPUT_DATA!$C:$C,"S"))</f>
        <v>0</v>
      </c>
      <c r="AY26" s="1034">
        <f t="shared" si="15"/>
        <v>0</v>
      </c>
      <c r="AZ26" s="1035">
        <f t="shared" si="16"/>
        <v>-1.8189894035458565E-12</v>
      </c>
      <c r="BA26" s="1036">
        <f t="shared" si="17"/>
        <v>0</v>
      </c>
      <c r="BB26" s="150"/>
      <c r="BC26" s="1031">
        <f>IF($B26=0,"",SUMIFS(INPUT_DATA!D:D,INPUT_DATA!$A:$A,$B26,INPUT_DATA!$C:$C,"D"))</f>
        <v>0</v>
      </c>
      <c r="BD26" s="311">
        <f>IF($B26=0,"",SUMIFS(INPUT_DATA!F:F,INPUT_DATA!$A:$A,$B26,INPUT_DATA!$C:$C,"D"))</f>
        <v>0</v>
      </c>
      <c r="BE26" s="311">
        <f>IF($B26=0,"",SUMIFS(INPUT_DATA!G:G,INPUT_DATA!$A:$A,$B26,INPUT_DATA!$C:$C,"D"))</f>
        <v>0</v>
      </c>
      <c r="BF26" s="311">
        <f>IF($B26=0,"",SUMIFS(INPUT_DATA!H:H,INPUT_DATA!$A:$A,$B26,INPUT_DATA!$C:$C,"D"))</f>
        <v>0</v>
      </c>
      <c r="BG26" s="311">
        <f>IF($B26=0,"",SUMIFS(INPUT_DATA!I:I,INPUT_DATA!$A:$A,$B26,INPUT_DATA!$C:$C,"D"))</f>
        <v>0</v>
      </c>
      <c r="BH26" s="311">
        <f>IF($B26=0,"",SUMIFS(INPUT_DATA!J:J,INPUT_DATA!$A:$A,$B26,INPUT_DATA!$C:$C,"D"))</f>
        <v>0</v>
      </c>
      <c r="BI26" s="311">
        <f>IF($B26=0,"",SUMIFS(INPUT_DATA!K:K,INPUT_DATA!$A:$A,$B26,INPUT_DATA!$C:$C,"D"))</f>
        <v>0</v>
      </c>
      <c r="BJ26" s="311">
        <f>IF($B26=0,"",SUMIFS(INPUT_DATA!L:L,INPUT_DATA!$A:$A,$B26,INPUT_DATA!$C:$C,"D"))</f>
        <v>0</v>
      </c>
      <c r="BK26" s="311">
        <f>IF($B26=0,"",SUMIFS(INPUT_DATA!M:M,INPUT_DATA!$A:$A,$B26,INPUT_DATA!$C:$C,"D"))</f>
        <v>0</v>
      </c>
      <c r="BL26" s="311">
        <f>IF($B26=0,"",SUMIFS(INPUT_DATA!N:N,INPUT_DATA!$A:$A,$B26,INPUT_DATA!$C:$C,"D"))</f>
        <v>0</v>
      </c>
      <c r="BM26" s="311">
        <f>IF($B26=0,"",SUMIFS(INPUT_DATA!O:O,INPUT_DATA!$A:$A,$B26,INPUT_DATA!$C:$C,"D"))</f>
        <v>0</v>
      </c>
      <c r="BN26" s="1037">
        <f t="shared" si="18"/>
        <v>0</v>
      </c>
      <c r="BO26" s="1037">
        <f>IF($B26=0,"",SUMIFS(INPUT_DATA!O:O,INPUT_DATA!$A:$A,$B26,INPUT_DATA!$C:$C,"D"))</f>
        <v>0</v>
      </c>
      <c r="BP26" s="1037">
        <f t="shared" si="19"/>
        <v>0</v>
      </c>
      <c r="BQ26" s="1031">
        <f>IF($B26=0,"",SUMIFS(INPUT_DATA!Q:Q,INPUT_DATA!$A:$A,$B26,INPUT_DATA!$C:$C,"D"))</f>
        <v>0</v>
      </c>
      <c r="BR26" s="1038">
        <f>IF($B26=0,"",SUMIFS(INPUT_DATA!R:R,INPUT_DATA!$A:$A,$B26,INPUT_DATA!$C:$C,"D"))</f>
        <v>0</v>
      </c>
      <c r="BS26" s="1038">
        <f>IF($B26=0,"",SUMIFS(INPUT_DATA!S:S,INPUT_DATA!$A:$A,$B26,INPUT_DATA!$C:$C,"D"))</f>
        <v>0</v>
      </c>
      <c r="BT26" s="311">
        <f>IF($B26=0,"",SUMIFS(INPUT_DATA!T:T,INPUT_DATA!$A:$A,$B26,INPUT_DATA!$C:$C,"D"))</f>
        <v>0</v>
      </c>
      <c r="BU26" s="311">
        <f>IF($B26=0,"",SUMIFS(INPUT_DATA!U:U,INPUT_DATA!$A:$A,$B26,INPUT_DATA!$C:$C,"D"))</f>
        <v>0</v>
      </c>
      <c r="BV26" s="311">
        <f>IF($B26=0,"",SUMIFS(INPUT_DATA!V:V,INPUT_DATA!$A:$A,$B26,INPUT_DATA!$C:$C,"D"))</f>
        <v>0</v>
      </c>
      <c r="BW26" s="311">
        <f>IF($B26=0,"",SUMIFS(INPUT_DATA!W:W,INPUT_DATA!$A:$A,$B26,INPUT_DATA!$C:$C,"D"))</f>
        <v>0</v>
      </c>
      <c r="BX26" s="311">
        <f>IF($B26=0,"",SUMIFS(INPUT_DATA!X:X,INPUT_DATA!$A:$A,$B26,INPUT_DATA!$C:$C,"D"))</f>
        <v>0</v>
      </c>
      <c r="BY26" s="311">
        <f>IF($B26=0,"",SUMIFS(INPUT_DATA!Y:Y,INPUT_DATA!$A:$A,$B26,INPUT_DATA!$C:$C,"D"))</f>
        <v>0</v>
      </c>
      <c r="BZ26" s="352">
        <f>IF($B26=0,"",SUMIFS(INPUT_DATA!Z:Z,INPUT_DATA!$A:$A,$B26,INPUT_DATA!$C:$C,"D"))</f>
        <v>0</v>
      </c>
      <c r="CA26" s="352">
        <f>IF($B26=0,"",SUMIFS(INPUT_DATA!AA:AA,INPUT_DATA!$A:$A,$B26,INPUT_DATA!$C:$C,"D"))</f>
        <v>0</v>
      </c>
      <c r="CB26" s="352">
        <f>IF($B26=0,"",SUMIFS(INPUT_DATA!AB:AB,INPUT_DATA!$A:$A,$B26,INPUT_DATA!$C:$C,"D"))</f>
        <v>0</v>
      </c>
      <c r="CC26" s="311">
        <f>IF($B26=0,"",SUMIFS(INPUT_DATA!AC:AC,INPUT_DATA!$A:$A,$B26,INPUT_DATA!$C:$C,"D"))</f>
        <v>0</v>
      </c>
      <c r="CD26" s="311">
        <f>IF($B26=0,"",SUMIFS(INPUT_DATA!AD:AD,INPUT_DATA!$A:$A,$B26,INPUT_DATA!$C:$C,"D"))</f>
        <v>0</v>
      </c>
      <c r="CE26" s="311">
        <f>IF($B26=0,"",SUMIFS(INPUT_DATA!AE:AE,INPUT_DATA!$A:$A,$B26,INPUT_DATA!$C:$C,"D"))</f>
        <v>0</v>
      </c>
      <c r="CF26" s="352">
        <f>IF($B26=0,"",SUMIFS(INPUT_DATA!AF:AF,INPUT_DATA!$A:$A,$B26,INPUT_DATA!$C:$C,"D"))</f>
        <v>0</v>
      </c>
      <c r="CG26" s="352">
        <f>IF($B26=0,"",SUMIFS(INPUT_DATA!AG:AG,INPUT_DATA!$A:$A,$B26,INPUT_DATA!$C:$C,"D"))</f>
        <v>0</v>
      </c>
      <c r="CH26" s="352">
        <f>IF($B26=0,"",SUMIFS(INPUT_DATA!AH:AH,INPUT_DATA!$A:$A,$B26,INPUT_DATA!$C:$C,"D"))</f>
        <v>0</v>
      </c>
      <c r="CI26" s="153">
        <f>IF($B26=0,"",SUMIFS(INPUT_DATA!AI:AI,INPUT_DATA!$A:$A,$B26,INPUT_DATA!$C:$C,"D"))</f>
        <v>0</v>
      </c>
      <c r="CJ26" s="153">
        <f>IF($B26=0,"",SUMIFS(INPUT_DATA!AJ:AJ,INPUT_DATA!$A:$A,$B26,INPUT_DATA!$C:$C,"D"))</f>
        <v>0</v>
      </c>
      <c r="CK26" s="153">
        <f>IF($B26=0,"",SUMIFS(INPUT_DATA!AK:AK,INPUT_DATA!$A:$A,$B26,INPUT_DATA!$C:$C,"D"))</f>
        <v>0</v>
      </c>
      <c r="CL26" s="153">
        <f>IF($B26=0,"",SUMIFS(INPUT_DATA!AL:AL,INPUT_DATA!$A:$A,$B26,INPUT_DATA!$C:$C,"D"))</f>
        <v>0</v>
      </c>
      <c r="CM26" s="153">
        <f>IF($B26=0,"",SUMIFS(INPUT_DATA!AM:AM,INPUT_DATA!$A:$A,$B26,INPUT_DATA!$C:$C,"D"))</f>
        <v>0</v>
      </c>
      <c r="CN26" s="153">
        <f>IF($B26=0,"",SUMIFS(INPUT_DATA!AN:AN,INPUT_DATA!$A:$A,$B26,INPUT_DATA!$C:$C,"D"))</f>
        <v>0</v>
      </c>
      <c r="CO26" s="153">
        <f>IF($B26=0,"",SUMIFS(INPUT_DATA!AO:AO,INPUT_DATA!$A:$A,$B26,INPUT_DATA!$C:$C,"D"))</f>
        <v>0</v>
      </c>
      <c r="CP26" s="153">
        <f>IF($B26=0,"",SUMIFS(INPUT_DATA!AP:AP,INPUT_DATA!$A:$A,$B26,INPUT_DATA!$C:$C,"D"))</f>
        <v>0</v>
      </c>
      <c r="CQ26" s="153">
        <f>IF($B26=0,"",SUMIFS(INPUT_DATA!AQ:AQ,INPUT_DATA!$A:$A,$B26,INPUT_DATA!$C:$C,"D"))</f>
        <v>0</v>
      </c>
      <c r="CR26" s="1035">
        <f t="shared" si="32"/>
        <v>0</v>
      </c>
      <c r="CS26" s="1035">
        <f t="shared" si="33"/>
        <v>0</v>
      </c>
      <c r="CT26" s="1035">
        <f t="shared" si="34"/>
        <v>0</v>
      </c>
      <c r="CU26" s="366">
        <f>IF($B26=0,"",SUMIFS(INPUT_DATA!AR:AR,INPUT_DATA!$A:$A,$B26,INPUT_DATA!$C:$C,"D"))</f>
        <v>0</v>
      </c>
      <c r="CV26" s="366">
        <f>IF($B26=0,"",SUMIFS(INPUT_DATA!AS:AS,INPUT_DATA!$A:$A,$B26,INPUT_DATA!$C:$C,"D"))</f>
        <v>0</v>
      </c>
      <c r="CW26" s="366">
        <f>IF($B26=0,"",SUMIFS(INPUT_DATA!AT:AT,INPUT_DATA!$A:$A,$B26,INPUT_DATA!$C:$C,"D"))</f>
        <v>0</v>
      </c>
      <c r="CX26" s="366">
        <f t="shared" si="35"/>
        <v>0</v>
      </c>
      <c r="CY26" s="1035">
        <f t="shared" si="36"/>
        <v>0</v>
      </c>
      <c r="CZ26" s="1039">
        <f t="shared" si="37"/>
        <v>0</v>
      </c>
      <c r="DA26" s="150"/>
    </row>
    <row r="27" spans="2:105" x14ac:dyDescent="0.2">
      <c r="B27" s="720">
        <f>INPUT_DATA!BQ14</f>
        <v>45260</v>
      </c>
      <c r="C27" s="1031">
        <f>IF($B27=0,"",SUMIFS(INPUT_DATA!D:D,INPUT_DATA!$A:$A,$B27,INPUT_DATA!$C:$C,"S"))</f>
        <v>751085014.37</v>
      </c>
      <c r="D27" s="366">
        <f>IF($B27=0,"",SUMIFS(INPUT_DATA!E:E,INPUT_DATA!$A:$A,$B27,INPUT_DATA!$C:$C,"S"))</f>
        <v>0</v>
      </c>
      <c r="E27" s="153">
        <f>IF($B27=0,"",SUMIFS(INPUT_DATA!F:F,INPUT_DATA!$A:$A,$B27,INPUT_DATA!$C:$C,"S"))</f>
        <v>4999969.28</v>
      </c>
      <c r="F27" s="153">
        <f>IF($B27=0,"",SUMIFS(INPUT_DATA!G:G,INPUT_DATA!$A:$A,$B27,INPUT_DATA!$C:$C,"S"))</f>
        <v>1285255.6299999999</v>
      </c>
      <c r="G27" s="153">
        <f>IF($B27=0,"",SUMIFS(INPUT_DATA!H:H,INPUT_DATA!$A:$A,$B27,INPUT_DATA!$C:$C,"S"))</f>
        <v>0</v>
      </c>
      <c r="H27" s="153">
        <f>IF($B27=0,"",SUMIFS(INPUT_DATA!I:I,INPUT_DATA!$A:$A,$B27,INPUT_DATA!$C:$C,"S"))</f>
        <v>0</v>
      </c>
      <c r="I27" s="153">
        <f>IF($B27=0,"",SUMIFS(INPUT_DATA!J:J,INPUT_DATA!$A:$A,$B27,INPUT_DATA!$C:$C,"S"))</f>
        <v>0</v>
      </c>
      <c r="J27" s="153">
        <f>IF($B27=0,"",SUMIFS(INPUT_DATA!K:K,INPUT_DATA!$A:$A,$B27,INPUT_DATA!$C:$C,"S"))</f>
        <v>0</v>
      </c>
      <c r="K27" s="153">
        <f>IF($B27=0,"",SUMIFS(INPUT_DATA!L:L,INPUT_DATA!$A:$A,$B27,INPUT_DATA!$C:$C,"S"))</f>
        <v>0</v>
      </c>
      <c r="L27" s="153">
        <f>IF($B27=0,"",SUMIFS(INPUT_DATA!M:M,INPUT_DATA!$A:$A,$B27,INPUT_DATA!$C:$C,"S"))</f>
        <v>0</v>
      </c>
      <c r="M27" s="153">
        <f>IF($B27=0,"",SUMIFS(INPUT_DATA!N:N,INPUT_DATA!$A:$A,$B27,INPUT_DATA!$C:$C,"S"))</f>
        <v>0</v>
      </c>
      <c r="N27" s="153">
        <f>IF($B27=0,"",SUMIFS(INPUT_DATA!O:O,INPUT_DATA!$A:$A,$B27,INPUT_DATA!$C:$C,"S"))</f>
        <v>0</v>
      </c>
      <c r="O27" s="1032">
        <f t="shared" si="38"/>
        <v>744799789.46000004</v>
      </c>
      <c r="P27" s="1033">
        <f>IF($B27=0,"",SUMIFS(INPUT_DATA!P:P,INPUT_DATA!$A:$A,$B27,INPUT_DATA!$C:$C,"S"))</f>
        <v>744799789.46000004</v>
      </c>
      <c r="Q27" s="1033">
        <f t="shared" si="39"/>
        <v>0</v>
      </c>
      <c r="R27" s="312">
        <f>IF($B27=0,"",SUMIFS(INPUT_DATA!Q:Q,INPUT_DATA!$A:$A,$B27,INPUT_DATA!$C:$C,"S"))</f>
        <v>0</v>
      </c>
      <c r="S27" s="312">
        <f>IF($B27=0,"",SUMIFS(INPUT_DATA!R:R,INPUT_DATA!$A:$A,$B27,INPUT_DATA!$C:$C,"S"))</f>
        <v>0</v>
      </c>
      <c r="T27" s="312">
        <f>IF($B27=0,"",SUMIFS(INPUT_DATA!S:S,INPUT_DATA!$A:$A,$B27,INPUT_DATA!$C:$C,"S"))</f>
        <v>0</v>
      </c>
      <c r="U27" s="312">
        <f>IF($B27=0,"",SUMIFS(INPUT_DATA!T:T,INPUT_DATA!$A:$A,$B27,INPUT_DATA!$C:$C,"S"))</f>
        <v>66580.289999999994</v>
      </c>
      <c r="V27" s="312">
        <f>IF($B27=0,"",SUMIFS(INPUT_DATA!U:U,INPUT_DATA!$A:$A,$B27,INPUT_DATA!$C:$C,"S"))</f>
        <v>8602.0499999999993</v>
      </c>
      <c r="W27" s="312">
        <f>IF($B27=0,"",SUMIFS(INPUT_DATA!V:V,INPUT_DATA!$A:$A,$B27,INPUT_DATA!$C:$C,"S"))</f>
        <v>0</v>
      </c>
      <c r="X27" s="312">
        <f>IF($B27=0,"",SUMIFS(INPUT_DATA!W:W,INPUT_DATA!$A:$A,$B27,INPUT_DATA!$C:$C,"S"))</f>
        <v>0</v>
      </c>
      <c r="Y27" s="312">
        <f>IF($B27=0,"",SUMIFS(INPUT_DATA!X:X,INPUT_DATA!$A:$A,$B27,INPUT_DATA!$C:$C,"S"))</f>
        <v>0</v>
      </c>
      <c r="Z27" s="312">
        <f>IF($B27=0,"",SUMIFS(INPUT_DATA!Y:Y,INPUT_DATA!$A:$A,$B27,INPUT_DATA!$C:$C,"S"))</f>
        <v>0</v>
      </c>
      <c r="AA27" s="312">
        <f>IF($B27=0,"",SUMIFS(INPUT_DATA!Z:Z,INPUT_DATA!$A:$A,$B27,INPUT_DATA!$C:$C,"S"))</f>
        <v>0</v>
      </c>
      <c r="AB27" s="312">
        <f>IF($B27=0,"",SUMIFS(INPUT_DATA!AA:AA,INPUT_DATA!$A:$A,$B27,INPUT_DATA!$C:$C,"S"))</f>
        <v>0</v>
      </c>
      <c r="AC27" s="312">
        <f>IF($B27=0,"",SUMIFS(INPUT_DATA!AB:AB,INPUT_DATA!$A:$A,$B27,INPUT_DATA!$C:$C,"S"))</f>
        <v>0</v>
      </c>
      <c r="AD27" s="312">
        <f>IF($B27=0,"",SUMIFS(INPUT_DATA!AC:AC,INPUT_DATA!$A:$A,$B27,INPUT_DATA!$C:$C,"S"))</f>
        <v>0</v>
      </c>
      <c r="AE27" s="312">
        <f>IF($B27=0,"",SUMIFS(INPUT_DATA!AD:AD,INPUT_DATA!$A:$A,$B27,INPUT_DATA!$C:$C,"S"))</f>
        <v>0</v>
      </c>
      <c r="AF27" s="312">
        <f>IF($B27=0,"",SUMIFS(INPUT_DATA!AE:AE,INPUT_DATA!$A:$A,$B27,INPUT_DATA!$C:$C,"S"))</f>
        <v>0</v>
      </c>
      <c r="AG27" s="312">
        <f>IF($B27=0,"",SUMIFS(INPUT_DATA!AF:AF,INPUT_DATA!$A:$A,$B27,INPUT_DATA!$C:$C,"S"))</f>
        <v>0</v>
      </c>
      <c r="AH27" s="312">
        <f>IF($B27=0,"",SUMIFS(INPUT_DATA!AG:AG,INPUT_DATA!$A:$A,$B27,INPUT_DATA!$C:$C,"S"))</f>
        <v>0</v>
      </c>
      <c r="AI27" s="312">
        <f>IF($B27=0,"",SUMIFS(INPUT_DATA!AH:AH,INPUT_DATA!$A:$A,$B27,INPUT_DATA!$C:$C,"S"))</f>
        <v>0</v>
      </c>
      <c r="AJ27" s="312">
        <f>IF($B27=0,"",SUMIFS(INPUT_DATA!AI:AI,INPUT_DATA!$A:$A,$B27,INPUT_DATA!$C:$C,"S"))</f>
        <v>0</v>
      </c>
      <c r="AK27" s="312">
        <f>IF($B27=0,"",SUMIFS(INPUT_DATA!AJ:AJ,INPUT_DATA!$A:$A,$B27,INPUT_DATA!$C:$C,"S"))</f>
        <v>0</v>
      </c>
      <c r="AL27" s="312">
        <f>IF($B27=0,"",SUMIFS(INPUT_DATA!AK:AK,INPUT_DATA!$A:$A,$B27,INPUT_DATA!$C:$C,"S"))</f>
        <v>0</v>
      </c>
      <c r="AM27" s="312">
        <f>IF($B27=0,"",SUMIFS(INPUT_DATA!AL:AL,INPUT_DATA!$A:$A,$B27,INPUT_DATA!$C:$C,"S"))</f>
        <v>0</v>
      </c>
      <c r="AN27" s="312">
        <f>IF($B27=0,"",SUMIFS(INPUT_DATA!AM:AM,INPUT_DATA!$A:$A,$B27,INPUT_DATA!$C:$C,"S"))</f>
        <v>0</v>
      </c>
      <c r="AO27" s="312">
        <f>IF($B27=0,"",SUMIFS(INPUT_DATA!AN:AN,INPUT_DATA!$A:$A,$B27,INPUT_DATA!$C:$C,"S"))</f>
        <v>0</v>
      </c>
      <c r="AP27" s="312">
        <f>IF($B27=0,"",SUMIFS(INPUT_DATA!AO:AO,INPUT_DATA!$A:$A,$B27,INPUT_DATA!$C:$C,"S"))</f>
        <v>0</v>
      </c>
      <c r="AQ27" s="312">
        <f>IF($B27=0,"",SUMIFS(INPUT_DATA!AP:AP,INPUT_DATA!$A:$A,$B27,INPUT_DATA!$C:$C,"S"))</f>
        <v>0</v>
      </c>
      <c r="AR27" s="312">
        <f>IF($B27=0,"",SUMIFS(INPUT_DATA!AQ:AQ,INPUT_DATA!$A:$A,$B27,INPUT_DATA!$C:$C,"S"))</f>
        <v>0</v>
      </c>
      <c r="AS27" s="1034">
        <f t="shared" si="29"/>
        <v>66580.289999999994</v>
      </c>
      <c r="AT27" s="1035">
        <f t="shared" si="30"/>
        <v>8602.0499999999993</v>
      </c>
      <c r="AU27" s="1036">
        <f t="shared" si="31"/>
        <v>0</v>
      </c>
      <c r="AV27" s="1034">
        <f>IF($B27=0,"",SUMIFS(INPUT_DATA!AR:AR,INPUT_DATA!$A:$A,$B27,INPUT_DATA!$C:$C,"S"))</f>
        <v>66580.289999999994</v>
      </c>
      <c r="AW27" s="1035">
        <f>IF($B27=0,"",SUMIFS(INPUT_DATA!AS:AS,INPUT_DATA!$A:$A,$B27,INPUT_DATA!$C:$C,"S"))</f>
        <v>8602.0499999999993</v>
      </c>
      <c r="AX27" s="1036">
        <f>IF($B27=0,"",SUMIFS(INPUT_DATA!AT:AT,INPUT_DATA!$A:$A,$B27,INPUT_DATA!$C:$C,"S"))</f>
        <v>0</v>
      </c>
      <c r="AY27" s="1034">
        <f t="shared" si="15"/>
        <v>0</v>
      </c>
      <c r="AZ27" s="1035">
        <f t="shared" si="16"/>
        <v>0</v>
      </c>
      <c r="BA27" s="1036">
        <f t="shared" si="17"/>
        <v>0</v>
      </c>
      <c r="BB27" s="150"/>
      <c r="BC27" s="1031">
        <f>IF($B27=0,"",SUMIFS(INPUT_DATA!D:D,INPUT_DATA!$A:$A,$B27,INPUT_DATA!$C:$C,"D"))</f>
        <v>0</v>
      </c>
      <c r="BD27" s="311">
        <f>IF($B27=0,"",SUMIFS(INPUT_DATA!F:F,INPUT_DATA!$A:$A,$B27,INPUT_DATA!$C:$C,"D"))</f>
        <v>0</v>
      </c>
      <c r="BE27" s="311">
        <f>IF($B27=0,"",SUMIFS(INPUT_DATA!G:G,INPUT_DATA!$A:$A,$B27,INPUT_DATA!$C:$C,"D"))</f>
        <v>0</v>
      </c>
      <c r="BF27" s="311">
        <f>IF($B27=0,"",SUMIFS(INPUT_DATA!H:H,INPUT_DATA!$A:$A,$B27,INPUT_DATA!$C:$C,"D"))</f>
        <v>0</v>
      </c>
      <c r="BG27" s="311">
        <f>IF($B27=0,"",SUMIFS(INPUT_DATA!I:I,INPUT_DATA!$A:$A,$B27,INPUT_DATA!$C:$C,"D"))</f>
        <v>0</v>
      </c>
      <c r="BH27" s="311">
        <f>IF($B27=0,"",SUMIFS(INPUT_DATA!J:J,INPUT_DATA!$A:$A,$B27,INPUT_DATA!$C:$C,"D"))</f>
        <v>0</v>
      </c>
      <c r="BI27" s="311">
        <f>IF($B27=0,"",SUMIFS(INPUT_DATA!K:K,INPUT_DATA!$A:$A,$B27,INPUT_DATA!$C:$C,"D"))</f>
        <v>0</v>
      </c>
      <c r="BJ27" s="311">
        <f>IF($B27=0,"",SUMIFS(INPUT_DATA!L:L,INPUT_DATA!$A:$A,$B27,INPUT_DATA!$C:$C,"D"))</f>
        <v>0</v>
      </c>
      <c r="BK27" s="311">
        <f>IF($B27=0,"",SUMIFS(INPUT_DATA!M:M,INPUT_DATA!$A:$A,$B27,INPUT_DATA!$C:$C,"D"))</f>
        <v>0</v>
      </c>
      <c r="BL27" s="311">
        <f>IF($B27=0,"",SUMIFS(INPUT_DATA!N:N,INPUT_DATA!$A:$A,$B27,INPUT_DATA!$C:$C,"D"))</f>
        <v>0</v>
      </c>
      <c r="BM27" s="311">
        <f>IF($B27=0,"",SUMIFS(INPUT_DATA!O:O,INPUT_DATA!$A:$A,$B27,INPUT_DATA!$C:$C,"D"))</f>
        <v>0</v>
      </c>
      <c r="BN27" s="1037">
        <f t="shared" si="18"/>
        <v>0</v>
      </c>
      <c r="BO27" s="1037">
        <f>IF($B27=0,"",SUMIFS(INPUT_DATA!O:O,INPUT_DATA!$A:$A,$B27,INPUT_DATA!$C:$C,"D"))</f>
        <v>0</v>
      </c>
      <c r="BP27" s="1037">
        <f t="shared" si="19"/>
        <v>0</v>
      </c>
      <c r="BQ27" s="1031">
        <f>IF($B27=0,"",SUMIFS(INPUT_DATA!Q:Q,INPUT_DATA!$A:$A,$B27,INPUT_DATA!$C:$C,"D"))</f>
        <v>0</v>
      </c>
      <c r="BR27" s="1038">
        <f>IF($B27=0,"",SUMIFS(INPUT_DATA!R:R,INPUT_DATA!$A:$A,$B27,INPUT_DATA!$C:$C,"D"))</f>
        <v>0</v>
      </c>
      <c r="BS27" s="1038">
        <f>IF($B27=0,"",SUMIFS(INPUT_DATA!S:S,INPUT_DATA!$A:$A,$B27,INPUT_DATA!$C:$C,"D"))</f>
        <v>0</v>
      </c>
      <c r="BT27" s="311">
        <f>IF($B27=0,"",SUMIFS(INPUT_DATA!T:T,INPUT_DATA!$A:$A,$B27,INPUT_DATA!$C:$C,"D"))</f>
        <v>0</v>
      </c>
      <c r="BU27" s="311">
        <f>IF($B27=0,"",SUMIFS(INPUT_DATA!U:U,INPUT_DATA!$A:$A,$B27,INPUT_DATA!$C:$C,"D"))</f>
        <v>0</v>
      </c>
      <c r="BV27" s="311">
        <f>IF($B27=0,"",SUMIFS(INPUT_DATA!V:V,INPUT_DATA!$A:$A,$B27,INPUT_DATA!$C:$C,"D"))</f>
        <v>0</v>
      </c>
      <c r="BW27" s="311">
        <f>IF($B27=0,"",SUMIFS(INPUT_DATA!W:W,INPUT_DATA!$A:$A,$B27,INPUT_DATA!$C:$C,"D"))</f>
        <v>0</v>
      </c>
      <c r="BX27" s="311">
        <f>IF($B27=0,"",SUMIFS(INPUT_DATA!X:X,INPUT_DATA!$A:$A,$B27,INPUT_DATA!$C:$C,"D"))</f>
        <v>0</v>
      </c>
      <c r="BY27" s="311">
        <f>IF($B27=0,"",SUMIFS(INPUT_DATA!Y:Y,INPUT_DATA!$A:$A,$B27,INPUT_DATA!$C:$C,"D"))</f>
        <v>0</v>
      </c>
      <c r="BZ27" s="352">
        <f>IF($B27=0,"",SUMIFS(INPUT_DATA!Z:Z,INPUT_DATA!$A:$A,$B27,INPUT_DATA!$C:$C,"D"))</f>
        <v>0</v>
      </c>
      <c r="CA27" s="352">
        <f>IF($B27=0,"",SUMIFS(INPUT_DATA!AA:AA,INPUT_DATA!$A:$A,$B27,INPUT_DATA!$C:$C,"D"))</f>
        <v>0</v>
      </c>
      <c r="CB27" s="352">
        <f>IF($B27=0,"",SUMIFS(INPUT_DATA!AB:AB,INPUT_DATA!$A:$A,$B27,INPUT_DATA!$C:$C,"D"))</f>
        <v>0</v>
      </c>
      <c r="CC27" s="311">
        <f>IF($B27=0,"",SUMIFS(INPUT_DATA!AC:AC,INPUT_DATA!$A:$A,$B27,INPUT_DATA!$C:$C,"D"))</f>
        <v>0</v>
      </c>
      <c r="CD27" s="311">
        <f>IF($B27=0,"",SUMIFS(INPUT_DATA!AD:AD,INPUT_DATA!$A:$A,$B27,INPUT_DATA!$C:$C,"D"))</f>
        <v>0</v>
      </c>
      <c r="CE27" s="311">
        <f>IF($B27=0,"",SUMIFS(INPUT_DATA!AE:AE,INPUT_DATA!$A:$A,$B27,INPUT_DATA!$C:$C,"D"))</f>
        <v>0</v>
      </c>
      <c r="CF27" s="352">
        <f>IF($B27=0,"",SUMIFS(INPUT_DATA!AF:AF,INPUT_DATA!$A:$A,$B27,INPUT_DATA!$C:$C,"D"))</f>
        <v>0</v>
      </c>
      <c r="CG27" s="352">
        <f>IF($B27=0,"",SUMIFS(INPUT_DATA!AG:AG,INPUT_DATA!$A:$A,$B27,INPUT_DATA!$C:$C,"D"))</f>
        <v>0</v>
      </c>
      <c r="CH27" s="352">
        <f>IF($B27=0,"",SUMIFS(INPUT_DATA!AH:AH,INPUT_DATA!$A:$A,$B27,INPUT_DATA!$C:$C,"D"))</f>
        <v>0</v>
      </c>
      <c r="CI27" s="153">
        <f>IF($B27=0,"",SUMIFS(INPUT_DATA!AI:AI,INPUT_DATA!$A:$A,$B27,INPUT_DATA!$C:$C,"D"))</f>
        <v>0</v>
      </c>
      <c r="CJ27" s="153">
        <f>IF($B27=0,"",SUMIFS(INPUT_DATA!AJ:AJ,INPUT_DATA!$A:$A,$B27,INPUT_DATA!$C:$C,"D"))</f>
        <v>0</v>
      </c>
      <c r="CK27" s="153">
        <f>IF($B27=0,"",SUMIFS(INPUT_DATA!AK:AK,INPUT_DATA!$A:$A,$B27,INPUT_DATA!$C:$C,"D"))</f>
        <v>0</v>
      </c>
      <c r="CL27" s="153">
        <f>IF($B27=0,"",SUMIFS(INPUT_DATA!AL:AL,INPUT_DATA!$A:$A,$B27,INPUT_DATA!$C:$C,"D"))</f>
        <v>0</v>
      </c>
      <c r="CM27" s="153">
        <f>IF($B27=0,"",SUMIFS(INPUT_DATA!AM:AM,INPUT_DATA!$A:$A,$B27,INPUT_DATA!$C:$C,"D"))</f>
        <v>0</v>
      </c>
      <c r="CN27" s="153">
        <f>IF($B27=0,"",SUMIFS(INPUT_DATA!AN:AN,INPUT_DATA!$A:$A,$B27,INPUT_DATA!$C:$C,"D"))</f>
        <v>0</v>
      </c>
      <c r="CO27" s="153">
        <f>IF($B27=0,"",SUMIFS(INPUT_DATA!AO:AO,INPUT_DATA!$A:$A,$B27,INPUT_DATA!$C:$C,"D"))</f>
        <v>0</v>
      </c>
      <c r="CP27" s="153">
        <f>IF($B27=0,"",SUMIFS(INPUT_DATA!AP:AP,INPUT_DATA!$A:$A,$B27,INPUT_DATA!$C:$C,"D"))</f>
        <v>0</v>
      </c>
      <c r="CQ27" s="153">
        <f>IF($B27=0,"",SUMIFS(INPUT_DATA!AQ:AQ,INPUT_DATA!$A:$A,$B27,INPUT_DATA!$C:$C,"D"))</f>
        <v>0</v>
      </c>
      <c r="CR27" s="1035">
        <f t="shared" si="32"/>
        <v>0</v>
      </c>
      <c r="CS27" s="1035">
        <f t="shared" si="33"/>
        <v>0</v>
      </c>
      <c r="CT27" s="1035">
        <f t="shared" si="34"/>
        <v>0</v>
      </c>
      <c r="CU27" s="366">
        <f>IF($B27=0,"",SUMIFS(INPUT_DATA!AR:AR,INPUT_DATA!$A:$A,$B27,INPUT_DATA!$C:$C,"D"))</f>
        <v>0</v>
      </c>
      <c r="CV27" s="366">
        <f>IF($B27=0,"",SUMIFS(INPUT_DATA!AS:AS,INPUT_DATA!$A:$A,$B27,INPUT_DATA!$C:$C,"D"))</f>
        <v>0</v>
      </c>
      <c r="CW27" s="366">
        <f>IF($B27=0,"",SUMIFS(INPUT_DATA!AT:AT,INPUT_DATA!$A:$A,$B27,INPUT_DATA!$C:$C,"D"))</f>
        <v>0</v>
      </c>
      <c r="CX27" s="366">
        <f t="shared" si="35"/>
        <v>0</v>
      </c>
      <c r="CY27" s="1035">
        <f t="shared" si="36"/>
        <v>0</v>
      </c>
      <c r="CZ27" s="1039">
        <f t="shared" si="37"/>
        <v>0</v>
      </c>
      <c r="DA27" s="150"/>
    </row>
    <row r="28" spans="2:105" x14ac:dyDescent="0.2">
      <c r="B28" s="720">
        <f>INPUT_DATA!BQ15</f>
        <v>45230</v>
      </c>
      <c r="C28" s="1031">
        <f>IF($B28=0,"",SUMIFS(INPUT_DATA!D:D,INPUT_DATA!$A:$A,$B28,INPUT_DATA!$C:$C,"S"))</f>
        <v>0</v>
      </c>
      <c r="D28" s="366">
        <f>IF($B28=0,"",SUMIFS(INPUT_DATA!E:E,INPUT_DATA!$A:$A,$B28,INPUT_DATA!$C:$C,"S"))</f>
        <v>751085014.37</v>
      </c>
      <c r="E28" s="153">
        <f>IF($B28=0,"",SUMIFS(INPUT_DATA!F:F,INPUT_DATA!$A:$A,$B28,INPUT_DATA!$C:$C,"S"))</f>
        <v>0</v>
      </c>
      <c r="F28" s="153">
        <f>IF($B28=0,"",SUMIFS(INPUT_DATA!G:G,INPUT_DATA!$A:$A,$B28,INPUT_DATA!$C:$C,"S"))</f>
        <v>0</v>
      </c>
      <c r="G28" s="153">
        <f>IF($B28=0,"",SUMIFS(INPUT_DATA!H:H,INPUT_DATA!$A:$A,$B28,INPUT_DATA!$C:$C,"S"))</f>
        <v>0</v>
      </c>
      <c r="H28" s="153">
        <f>IF($B28=0,"",SUMIFS(INPUT_DATA!I:I,INPUT_DATA!$A:$A,$B28,INPUT_DATA!$C:$C,"S"))</f>
        <v>0</v>
      </c>
      <c r="I28" s="153">
        <f>IF($B28=0,"",SUMIFS(INPUT_DATA!J:J,INPUT_DATA!$A:$A,$B28,INPUT_DATA!$C:$C,"S"))</f>
        <v>0</v>
      </c>
      <c r="J28" s="153">
        <f>IF($B28=0,"",SUMIFS(INPUT_DATA!K:K,INPUT_DATA!$A:$A,$B28,INPUT_DATA!$C:$C,"S"))</f>
        <v>0</v>
      </c>
      <c r="K28" s="153">
        <f>IF($B28=0,"",SUMIFS(INPUT_DATA!L:L,INPUT_DATA!$A:$A,$B28,INPUT_DATA!$C:$C,"S"))</f>
        <v>0</v>
      </c>
      <c r="L28" s="153">
        <f>IF($B28=0,"",SUMIFS(INPUT_DATA!M:M,INPUT_DATA!$A:$A,$B28,INPUT_DATA!$C:$C,"S"))</f>
        <v>0</v>
      </c>
      <c r="M28" s="153">
        <f>IF($B28=0,"",SUMIFS(INPUT_DATA!N:N,INPUT_DATA!$A:$A,$B28,INPUT_DATA!$C:$C,"S"))</f>
        <v>0</v>
      </c>
      <c r="N28" s="153">
        <f>IF($B28=0,"",SUMIFS(INPUT_DATA!O:O,INPUT_DATA!$A:$A,$B28,INPUT_DATA!$C:$C,"S"))</f>
        <v>0</v>
      </c>
      <c r="O28" s="1032">
        <f t="shared" si="38"/>
        <v>751085014.37</v>
      </c>
      <c r="P28" s="1033">
        <f>IF($B28=0,"",SUMIFS(INPUT_DATA!P:P,INPUT_DATA!$A:$A,$B28,INPUT_DATA!$C:$C,"S"))</f>
        <v>751085014.37</v>
      </c>
      <c r="Q28" s="1033">
        <f t="shared" si="39"/>
        <v>0</v>
      </c>
      <c r="R28" s="312">
        <f>IF($B28=0,"",SUMIFS(INPUT_DATA!Q:Q,INPUT_DATA!$A:$A,$B28,INPUT_DATA!$C:$C,"S"))</f>
        <v>0</v>
      </c>
      <c r="S28" s="312">
        <f>IF($B28=0,"",SUMIFS(INPUT_DATA!R:R,INPUT_DATA!$A:$A,$B28,INPUT_DATA!$C:$C,"S"))</f>
        <v>0</v>
      </c>
      <c r="T28" s="312">
        <f>IF($B28=0,"",SUMIFS(INPUT_DATA!S:S,INPUT_DATA!$A:$A,$B28,INPUT_DATA!$C:$C,"S"))</f>
        <v>0</v>
      </c>
      <c r="U28" s="312">
        <f>IF($B28=0,"",SUMIFS(INPUT_DATA!T:T,INPUT_DATA!$A:$A,$B28,INPUT_DATA!$C:$C,"S"))</f>
        <v>0</v>
      </c>
      <c r="V28" s="312">
        <f>IF($B28=0,"",SUMIFS(INPUT_DATA!U:U,INPUT_DATA!$A:$A,$B28,INPUT_DATA!$C:$C,"S"))</f>
        <v>0</v>
      </c>
      <c r="W28" s="312">
        <f>IF($B28=0,"",SUMIFS(INPUT_DATA!V:V,INPUT_DATA!$A:$A,$B28,INPUT_DATA!$C:$C,"S"))</f>
        <v>0</v>
      </c>
      <c r="X28" s="312">
        <f>IF($B28=0,"",SUMIFS(INPUT_DATA!W:W,INPUT_DATA!$A:$A,$B28,INPUT_DATA!$C:$C,"S"))</f>
        <v>0</v>
      </c>
      <c r="Y28" s="312">
        <f>IF($B28=0,"",SUMIFS(INPUT_DATA!X:X,INPUT_DATA!$A:$A,$B28,INPUT_DATA!$C:$C,"S"))</f>
        <v>0</v>
      </c>
      <c r="Z28" s="312">
        <f>IF($B28=0,"",SUMIFS(INPUT_DATA!Y:Y,INPUT_DATA!$A:$A,$B28,INPUT_DATA!$C:$C,"S"))</f>
        <v>0</v>
      </c>
      <c r="AA28" s="312">
        <f>IF($B28=0,"",SUMIFS(INPUT_DATA!Z:Z,INPUT_DATA!$A:$A,$B28,INPUT_DATA!$C:$C,"S"))</f>
        <v>0</v>
      </c>
      <c r="AB28" s="312">
        <f>IF($B28=0,"",SUMIFS(INPUT_DATA!AA:AA,INPUT_DATA!$A:$A,$B28,INPUT_DATA!$C:$C,"S"))</f>
        <v>0</v>
      </c>
      <c r="AC28" s="312">
        <f>IF($B28=0,"",SUMIFS(INPUT_DATA!AB:AB,INPUT_DATA!$A:$A,$B28,INPUT_DATA!$C:$C,"S"))</f>
        <v>0</v>
      </c>
      <c r="AD28" s="312">
        <f>IF($B28=0,"",SUMIFS(INPUT_DATA!AC:AC,INPUT_DATA!$A:$A,$B28,INPUT_DATA!$C:$C,"S"))</f>
        <v>0</v>
      </c>
      <c r="AE28" s="312">
        <f>IF($B28=0,"",SUMIFS(INPUT_DATA!AD:AD,INPUT_DATA!$A:$A,$B28,INPUT_DATA!$C:$C,"S"))</f>
        <v>0</v>
      </c>
      <c r="AF28" s="312">
        <f>IF($B28=0,"",SUMIFS(INPUT_DATA!AE:AE,INPUT_DATA!$A:$A,$B28,INPUT_DATA!$C:$C,"S"))</f>
        <v>0</v>
      </c>
      <c r="AG28" s="312">
        <f>IF($B28=0,"",SUMIFS(INPUT_DATA!AF:AF,INPUT_DATA!$A:$A,$B28,INPUT_DATA!$C:$C,"S"))</f>
        <v>0</v>
      </c>
      <c r="AH28" s="312">
        <f>IF($B28=0,"",SUMIFS(INPUT_DATA!AG:AG,INPUT_DATA!$A:$A,$B28,INPUT_DATA!$C:$C,"S"))</f>
        <v>0</v>
      </c>
      <c r="AI28" s="312">
        <f>IF($B28=0,"",SUMIFS(INPUT_DATA!AH:AH,INPUT_DATA!$A:$A,$B28,INPUT_DATA!$C:$C,"S"))</f>
        <v>0</v>
      </c>
      <c r="AJ28" s="312">
        <f>IF($B28=0,"",SUMIFS(INPUT_DATA!AI:AI,INPUT_DATA!$A:$A,$B28,INPUT_DATA!$C:$C,"S"))</f>
        <v>0</v>
      </c>
      <c r="AK28" s="312">
        <f>IF($B28=0,"",SUMIFS(INPUT_DATA!AJ:AJ,INPUT_DATA!$A:$A,$B28,INPUT_DATA!$C:$C,"S"))</f>
        <v>0</v>
      </c>
      <c r="AL28" s="312">
        <f>IF($B28=0,"",SUMIFS(INPUT_DATA!AK:AK,INPUT_DATA!$A:$A,$B28,INPUT_DATA!$C:$C,"S"))</f>
        <v>0</v>
      </c>
      <c r="AM28" s="312">
        <f>IF($B28=0,"",SUMIFS(INPUT_DATA!AL:AL,INPUT_DATA!$A:$A,$B28,INPUT_DATA!$C:$C,"S"))</f>
        <v>0</v>
      </c>
      <c r="AN28" s="312">
        <f>IF($B28=0,"",SUMIFS(INPUT_DATA!AM:AM,INPUT_DATA!$A:$A,$B28,INPUT_DATA!$C:$C,"S"))</f>
        <v>0</v>
      </c>
      <c r="AO28" s="312">
        <f>IF($B28=0,"",SUMIFS(INPUT_DATA!AN:AN,INPUT_DATA!$A:$A,$B28,INPUT_DATA!$C:$C,"S"))</f>
        <v>0</v>
      </c>
      <c r="AP28" s="312">
        <f>IF($B28=0,"",SUMIFS(INPUT_DATA!AO:AO,INPUT_DATA!$A:$A,$B28,INPUT_DATA!$C:$C,"S"))</f>
        <v>0</v>
      </c>
      <c r="AQ28" s="312">
        <f>IF($B28=0,"",SUMIFS(INPUT_DATA!AP:AP,INPUT_DATA!$A:$A,$B28,INPUT_DATA!$C:$C,"S"))</f>
        <v>0</v>
      </c>
      <c r="AR28" s="312">
        <f>IF($B28=0,"",SUMIFS(INPUT_DATA!AQ:AQ,INPUT_DATA!$A:$A,$B28,INPUT_DATA!$C:$C,"S"))</f>
        <v>0</v>
      </c>
      <c r="AS28" s="1034">
        <f t="shared" si="29"/>
        <v>0</v>
      </c>
      <c r="AT28" s="1035">
        <f t="shared" si="30"/>
        <v>0</v>
      </c>
      <c r="AU28" s="1036">
        <f t="shared" si="31"/>
        <v>0</v>
      </c>
      <c r="AV28" s="1034">
        <f>IF($B28=0,"",SUMIFS(INPUT_DATA!AR:AR,INPUT_DATA!$A:$A,$B28,INPUT_DATA!$C:$C,"S"))</f>
        <v>0</v>
      </c>
      <c r="AW28" s="1035">
        <f>IF($B28=0,"",SUMIFS(INPUT_DATA!AS:AS,INPUT_DATA!$A:$A,$B28,INPUT_DATA!$C:$C,"S"))</f>
        <v>0</v>
      </c>
      <c r="AX28" s="1036">
        <f>IF($B28=0,"",SUMIFS(INPUT_DATA!AT:AT,INPUT_DATA!$A:$A,$B28,INPUT_DATA!$C:$C,"S"))</f>
        <v>0</v>
      </c>
      <c r="AY28" s="1034">
        <f t="shared" si="15"/>
        <v>0</v>
      </c>
      <c r="AZ28" s="1035">
        <f t="shared" si="16"/>
        <v>0</v>
      </c>
      <c r="BA28" s="1036">
        <f t="shared" si="17"/>
        <v>0</v>
      </c>
      <c r="BB28" s="150"/>
      <c r="BC28" s="1031">
        <f>IF($B28=0,"",SUMIFS(INPUT_DATA!D:D,INPUT_DATA!$A:$A,$B28,INPUT_DATA!$C:$C,"D"))</f>
        <v>0</v>
      </c>
      <c r="BD28" s="311">
        <f>IF($B28=0,"",SUMIFS(INPUT_DATA!F:F,INPUT_DATA!$A:$A,$B28,INPUT_DATA!$C:$C,"D"))</f>
        <v>0</v>
      </c>
      <c r="BE28" s="311">
        <f>IF($B28=0,"",SUMIFS(INPUT_DATA!G:G,INPUT_DATA!$A:$A,$B28,INPUT_DATA!$C:$C,"D"))</f>
        <v>0</v>
      </c>
      <c r="BF28" s="311">
        <f>IF($B28=0,"",SUMIFS(INPUT_DATA!H:H,INPUT_DATA!$A:$A,$B28,INPUT_DATA!$C:$C,"D"))</f>
        <v>0</v>
      </c>
      <c r="BG28" s="311">
        <f>IF($B28=0,"",SUMIFS(INPUT_DATA!I:I,INPUT_DATA!$A:$A,$B28,INPUT_DATA!$C:$C,"D"))</f>
        <v>0</v>
      </c>
      <c r="BH28" s="311">
        <f>IF($B28=0,"",SUMIFS(INPUT_DATA!J:J,INPUT_DATA!$A:$A,$B28,INPUT_DATA!$C:$C,"D"))</f>
        <v>0</v>
      </c>
      <c r="BI28" s="311">
        <f>IF($B28=0,"",SUMIFS(INPUT_DATA!K:K,INPUT_DATA!$A:$A,$B28,INPUT_DATA!$C:$C,"D"))</f>
        <v>0</v>
      </c>
      <c r="BJ28" s="311">
        <f>IF($B28=0,"",SUMIFS(INPUT_DATA!L:L,INPUT_DATA!$A:$A,$B28,INPUT_DATA!$C:$C,"D"))</f>
        <v>0</v>
      </c>
      <c r="BK28" s="311">
        <f>IF($B28=0,"",SUMIFS(INPUT_DATA!M:M,INPUT_DATA!$A:$A,$B28,INPUT_DATA!$C:$C,"D"))</f>
        <v>0</v>
      </c>
      <c r="BL28" s="311">
        <f>IF($B28=0,"",SUMIFS(INPUT_DATA!N:N,INPUT_DATA!$A:$A,$B28,INPUT_DATA!$C:$C,"D"))</f>
        <v>0</v>
      </c>
      <c r="BM28" s="311">
        <f>IF($B28=0,"",SUMIFS(INPUT_DATA!O:O,INPUT_DATA!$A:$A,$B28,INPUT_DATA!$C:$C,"D"))</f>
        <v>0</v>
      </c>
      <c r="BN28" s="1037">
        <f t="shared" si="18"/>
        <v>0</v>
      </c>
      <c r="BO28" s="1037">
        <f>IF($B28=0,"",SUMIFS(INPUT_DATA!O:O,INPUT_DATA!$A:$A,$B28,INPUT_DATA!$C:$C,"D"))</f>
        <v>0</v>
      </c>
      <c r="BP28" s="1037">
        <f t="shared" si="19"/>
        <v>0</v>
      </c>
      <c r="BQ28" s="1031">
        <f>IF($B28=0,"",SUMIFS(INPUT_DATA!Q:Q,INPUT_DATA!$A:$A,$B28,INPUT_DATA!$C:$C,"D"))</f>
        <v>0</v>
      </c>
      <c r="BR28" s="1038">
        <f>IF($B28=0,"",SUMIFS(INPUT_DATA!R:R,INPUT_DATA!$A:$A,$B28,INPUT_DATA!$C:$C,"D"))</f>
        <v>0</v>
      </c>
      <c r="BS28" s="1038">
        <f>IF($B28=0,"",SUMIFS(INPUT_DATA!S:S,INPUT_DATA!$A:$A,$B28,INPUT_DATA!$C:$C,"D"))</f>
        <v>0</v>
      </c>
      <c r="BT28" s="311">
        <f>IF($B28=0,"",SUMIFS(INPUT_DATA!T:T,INPUT_DATA!$A:$A,$B28,INPUT_DATA!$C:$C,"D"))</f>
        <v>0</v>
      </c>
      <c r="BU28" s="311">
        <f>IF($B28=0,"",SUMIFS(INPUT_DATA!U:U,INPUT_DATA!$A:$A,$B28,INPUT_DATA!$C:$C,"D"))</f>
        <v>0</v>
      </c>
      <c r="BV28" s="311">
        <f>IF($B28=0,"",SUMIFS(INPUT_DATA!V:V,INPUT_DATA!$A:$A,$B28,INPUT_DATA!$C:$C,"D"))</f>
        <v>0</v>
      </c>
      <c r="BW28" s="311">
        <f>IF($B28=0,"",SUMIFS(INPUT_DATA!W:W,INPUT_DATA!$A:$A,$B28,INPUT_DATA!$C:$C,"D"))</f>
        <v>0</v>
      </c>
      <c r="BX28" s="311">
        <f>IF($B28=0,"",SUMIFS(INPUT_DATA!X:X,INPUT_DATA!$A:$A,$B28,INPUT_DATA!$C:$C,"D"))</f>
        <v>0</v>
      </c>
      <c r="BY28" s="311">
        <f>IF($B28=0,"",SUMIFS(INPUT_DATA!Y:Y,INPUT_DATA!$A:$A,$B28,INPUT_DATA!$C:$C,"D"))</f>
        <v>0</v>
      </c>
      <c r="BZ28" s="352">
        <f>IF($B28=0,"",SUMIFS(INPUT_DATA!Z:Z,INPUT_DATA!$A:$A,$B28,INPUT_DATA!$C:$C,"D"))</f>
        <v>0</v>
      </c>
      <c r="CA28" s="352">
        <f>IF($B28=0,"",SUMIFS(INPUT_DATA!AA:AA,INPUT_DATA!$A:$A,$B28,INPUT_DATA!$C:$C,"D"))</f>
        <v>0</v>
      </c>
      <c r="CB28" s="352">
        <f>IF($B28=0,"",SUMIFS(INPUT_DATA!AB:AB,INPUT_DATA!$A:$A,$B28,INPUT_DATA!$C:$C,"D"))</f>
        <v>0</v>
      </c>
      <c r="CC28" s="311">
        <f>IF($B28=0,"",SUMIFS(INPUT_DATA!AC:AC,INPUT_DATA!$A:$A,$B28,INPUT_DATA!$C:$C,"D"))</f>
        <v>0</v>
      </c>
      <c r="CD28" s="311">
        <f>IF($B28=0,"",SUMIFS(INPUT_DATA!AD:AD,INPUT_DATA!$A:$A,$B28,INPUT_DATA!$C:$C,"D"))</f>
        <v>0</v>
      </c>
      <c r="CE28" s="311">
        <f>IF($B28=0,"",SUMIFS(INPUT_DATA!AE:AE,INPUT_DATA!$A:$A,$B28,INPUT_DATA!$C:$C,"D"))</f>
        <v>0</v>
      </c>
      <c r="CF28" s="352">
        <f>IF($B28=0,"",SUMIFS(INPUT_DATA!AF:AF,INPUT_DATA!$A:$A,$B28,INPUT_DATA!$C:$C,"D"))</f>
        <v>0</v>
      </c>
      <c r="CG28" s="352">
        <f>IF($B28=0,"",SUMIFS(INPUT_DATA!AG:AG,INPUT_DATA!$A:$A,$B28,INPUT_DATA!$C:$C,"D"))</f>
        <v>0</v>
      </c>
      <c r="CH28" s="352">
        <f>IF($B28=0,"",SUMIFS(INPUT_DATA!AH:AH,INPUT_DATA!$A:$A,$B28,INPUT_DATA!$C:$C,"D"))</f>
        <v>0</v>
      </c>
      <c r="CI28" s="153">
        <f>IF($B28=0,"",SUMIFS(INPUT_DATA!AI:AI,INPUT_DATA!$A:$A,$B28,INPUT_DATA!$C:$C,"D"))</f>
        <v>0</v>
      </c>
      <c r="CJ28" s="153">
        <f>IF($B28=0,"",SUMIFS(INPUT_DATA!AJ:AJ,INPUT_DATA!$A:$A,$B28,INPUT_DATA!$C:$C,"D"))</f>
        <v>0</v>
      </c>
      <c r="CK28" s="153">
        <f>IF($B28=0,"",SUMIFS(INPUT_DATA!AK:AK,INPUT_DATA!$A:$A,$B28,INPUT_DATA!$C:$C,"D"))</f>
        <v>0</v>
      </c>
      <c r="CL28" s="153">
        <f>IF($B28=0,"",SUMIFS(INPUT_DATA!AL:AL,INPUT_DATA!$A:$A,$B28,INPUT_DATA!$C:$C,"D"))</f>
        <v>0</v>
      </c>
      <c r="CM28" s="153">
        <f>IF($B28=0,"",SUMIFS(INPUT_DATA!AM:AM,INPUT_DATA!$A:$A,$B28,INPUT_DATA!$C:$C,"D"))</f>
        <v>0</v>
      </c>
      <c r="CN28" s="153">
        <f>IF($B28=0,"",SUMIFS(INPUT_DATA!AN:AN,INPUT_DATA!$A:$A,$B28,INPUT_DATA!$C:$C,"D"))</f>
        <v>0</v>
      </c>
      <c r="CO28" s="153">
        <f>IF($B28=0,"",SUMIFS(INPUT_DATA!AO:AO,INPUT_DATA!$A:$A,$B28,INPUT_DATA!$C:$C,"D"))</f>
        <v>0</v>
      </c>
      <c r="CP28" s="153">
        <f>IF($B28=0,"",SUMIFS(INPUT_DATA!AP:AP,INPUT_DATA!$A:$A,$B28,INPUT_DATA!$C:$C,"D"))</f>
        <v>0</v>
      </c>
      <c r="CQ28" s="153">
        <f>IF($B28=0,"",SUMIFS(INPUT_DATA!AQ:AQ,INPUT_DATA!$A:$A,$B28,INPUT_DATA!$C:$C,"D"))</f>
        <v>0</v>
      </c>
      <c r="CR28" s="1035">
        <f t="shared" si="32"/>
        <v>0</v>
      </c>
      <c r="CS28" s="1035">
        <f t="shared" si="33"/>
        <v>0</v>
      </c>
      <c r="CT28" s="1035">
        <f t="shared" si="34"/>
        <v>0</v>
      </c>
      <c r="CU28" s="366">
        <f>IF($B28=0,"",SUMIFS(INPUT_DATA!AR:AR,INPUT_DATA!$A:$A,$B28,INPUT_DATA!$C:$C,"D"))</f>
        <v>0</v>
      </c>
      <c r="CV28" s="366">
        <f>IF($B28=0,"",SUMIFS(INPUT_DATA!AS:AS,INPUT_DATA!$A:$A,$B28,INPUT_DATA!$C:$C,"D"))</f>
        <v>0</v>
      </c>
      <c r="CW28" s="366">
        <f>IF($B28=0,"",SUMIFS(INPUT_DATA!AT:AT,INPUT_DATA!$A:$A,$B28,INPUT_DATA!$C:$C,"D"))</f>
        <v>0</v>
      </c>
      <c r="CX28" s="366">
        <f t="shared" si="35"/>
        <v>0</v>
      </c>
      <c r="CY28" s="1035">
        <f t="shared" si="36"/>
        <v>0</v>
      </c>
      <c r="CZ28" s="1039">
        <f t="shared" si="37"/>
        <v>0</v>
      </c>
      <c r="DA28" s="150"/>
    </row>
    <row r="29" spans="2:105" x14ac:dyDescent="0.2">
      <c r="B29" s="720">
        <f>INPUT_DATA!BQ16</f>
        <v>0</v>
      </c>
      <c r="C29" s="1031" t="str">
        <f>IF($B29=0,"",SUMIFS(INPUT_DATA!D:D,INPUT_DATA!$A:$A,$B29,INPUT_DATA!$C:$C,"S"))</f>
        <v/>
      </c>
      <c r="D29" s="366" t="str">
        <f>IF($B29=0,"",SUMIFS(INPUT_DATA!E:E,INPUT_DATA!$A:$A,$B29,INPUT_DATA!$C:$C,"S"))</f>
        <v/>
      </c>
      <c r="E29" s="153" t="str">
        <f>IF($B29=0,"",SUMIFS(INPUT_DATA!F:F,INPUT_DATA!$A:$A,$B29,INPUT_DATA!$C:$C,"S"))</f>
        <v/>
      </c>
      <c r="F29" s="153" t="str">
        <f>IF($B29=0,"",SUMIFS(INPUT_DATA!G:G,INPUT_DATA!$A:$A,$B29,INPUT_DATA!$C:$C,"S"))</f>
        <v/>
      </c>
      <c r="G29" s="153" t="str">
        <f>IF($B29=0,"",SUMIFS(INPUT_DATA!H:H,INPUT_DATA!$A:$A,$B29,INPUT_DATA!$C:$C,"S"))</f>
        <v/>
      </c>
      <c r="H29" s="153" t="str">
        <f>IF($B29=0,"",SUMIFS(INPUT_DATA!I:I,INPUT_DATA!$A:$A,$B29,INPUT_DATA!$C:$C,"S"))</f>
        <v/>
      </c>
      <c r="I29" s="153" t="str">
        <f>IF($B29=0,"",SUMIFS(INPUT_DATA!J:J,INPUT_DATA!$A:$A,$B29,INPUT_DATA!$C:$C,"S"))</f>
        <v/>
      </c>
      <c r="J29" s="153" t="str">
        <f>IF($B29=0,"",SUMIFS(INPUT_DATA!K:K,INPUT_DATA!$A:$A,$B29,INPUT_DATA!$C:$C,"S"))</f>
        <v/>
      </c>
      <c r="K29" s="153" t="str">
        <f>IF($B29=0,"",SUMIFS(INPUT_DATA!L:L,INPUT_DATA!$A:$A,$B29,INPUT_DATA!$C:$C,"S"))</f>
        <v/>
      </c>
      <c r="L29" s="153" t="str">
        <f>IF($B29=0,"",SUMIFS(INPUT_DATA!M:M,INPUT_DATA!$A:$A,$B29,INPUT_DATA!$C:$C,"S"))</f>
        <v/>
      </c>
      <c r="M29" s="153" t="str">
        <f>IF($B29=0,"",SUMIFS(INPUT_DATA!N:N,INPUT_DATA!$A:$A,$B29,INPUT_DATA!$C:$C,"S"))</f>
        <v/>
      </c>
      <c r="N29" s="153" t="str">
        <f>IF($B29=0,"",SUMIFS(INPUT_DATA!O:O,INPUT_DATA!$A:$A,$B29,INPUT_DATA!$C:$C,"S"))</f>
        <v/>
      </c>
      <c r="O29" s="1032" t="str">
        <f t="shared" si="38"/>
        <v/>
      </c>
      <c r="P29" s="1033" t="str">
        <f>IF($B29=0,"",SUMIFS(INPUT_DATA!P:P,INPUT_DATA!$A:$A,$B29,INPUT_DATA!$C:$C,"S"))</f>
        <v/>
      </c>
      <c r="Q29" s="1033" t="str">
        <f t="shared" si="39"/>
        <v/>
      </c>
      <c r="R29" s="312" t="str">
        <f>IF($B29=0,"",SUMIFS(INPUT_DATA!Q:Q,INPUT_DATA!$A:$A,$B29,INPUT_DATA!$C:$C,"S"))</f>
        <v/>
      </c>
      <c r="S29" s="312" t="str">
        <f>IF($B29=0,"",SUMIFS(INPUT_DATA!R:R,INPUT_DATA!$A:$A,$B29,INPUT_DATA!$C:$C,"S"))</f>
        <v/>
      </c>
      <c r="T29" s="312" t="str">
        <f>IF($B29=0,"",SUMIFS(INPUT_DATA!S:S,INPUT_DATA!$A:$A,$B29,INPUT_DATA!$C:$C,"S"))</f>
        <v/>
      </c>
      <c r="U29" s="312" t="str">
        <f>IF($B29=0,"",SUMIFS(INPUT_DATA!T:T,INPUT_DATA!$A:$A,$B29,INPUT_DATA!$C:$C,"S"))</f>
        <v/>
      </c>
      <c r="V29" s="312" t="str">
        <f>IF($B29=0,"",SUMIFS(INPUT_DATA!U:U,INPUT_DATA!$A:$A,$B29,INPUT_DATA!$C:$C,"S"))</f>
        <v/>
      </c>
      <c r="W29" s="312" t="str">
        <f>IF($B29=0,"",SUMIFS(INPUT_DATA!V:V,INPUT_DATA!$A:$A,$B29,INPUT_DATA!$C:$C,"S"))</f>
        <v/>
      </c>
      <c r="X29" s="312" t="str">
        <f>IF($B29=0,"",SUMIFS(INPUT_DATA!W:W,INPUT_DATA!$A:$A,$B29,INPUT_DATA!$C:$C,"S"))</f>
        <v/>
      </c>
      <c r="Y29" s="312" t="str">
        <f>IF($B29=0,"",SUMIFS(INPUT_DATA!X:X,INPUT_DATA!$A:$A,$B29,INPUT_DATA!$C:$C,"S"))</f>
        <v/>
      </c>
      <c r="Z29" s="312" t="str">
        <f>IF($B29=0,"",SUMIFS(INPUT_DATA!Y:Y,INPUT_DATA!$A:$A,$B29,INPUT_DATA!$C:$C,"S"))</f>
        <v/>
      </c>
      <c r="AA29" s="312" t="str">
        <f>IF($B29=0,"",SUMIFS(INPUT_DATA!Z:Z,INPUT_DATA!$A:$A,$B29,INPUT_DATA!$C:$C,"S"))</f>
        <v/>
      </c>
      <c r="AB29" s="312" t="str">
        <f>IF($B29=0,"",SUMIFS(INPUT_DATA!AA:AA,INPUT_DATA!$A:$A,$B29,INPUT_DATA!$C:$C,"S"))</f>
        <v/>
      </c>
      <c r="AC29" s="312" t="str">
        <f>IF($B29=0,"",SUMIFS(INPUT_DATA!AB:AB,INPUT_DATA!$A:$A,$B29,INPUT_DATA!$C:$C,"S"))</f>
        <v/>
      </c>
      <c r="AD29" s="312" t="str">
        <f>IF($B29=0,"",SUMIFS(INPUT_DATA!AC:AC,INPUT_DATA!$A:$A,$B29,INPUT_DATA!$C:$C,"S"))</f>
        <v/>
      </c>
      <c r="AE29" s="312" t="str">
        <f>IF($B29=0,"",SUMIFS(INPUT_DATA!AD:AD,INPUT_DATA!$A:$A,$B29,INPUT_DATA!$C:$C,"S"))</f>
        <v/>
      </c>
      <c r="AF29" s="312" t="str">
        <f>IF($B29=0,"",SUMIFS(INPUT_DATA!AE:AE,INPUT_DATA!$A:$A,$B29,INPUT_DATA!$C:$C,"S"))</f>
        <v/>
      </c>
      <c r="AG29" s="312" t="str">
        <f>IF($B29=0,"",SUMIFS(INPUT_DATA!AF:AF,INPUT_DATA!$A:$A,$B29,INPUT_DATA!$C:$C,"S"))</f>
        <v/>
      </c>
      <c r="AH29" s="312" t="str">
        <f>IF($B29=0,"",SUMIFS(INPUT_DATA!AG:AG,INPUT_DATA!$A:$A,$B29,INPUT_DATA!$C:$C,"S"))</f>
        <v/>
      </c>
      <c r="AI29" s="312" t="str">
        <f>IF($B29=0,"",SUMIFS(INPUT_DATA!AH:AH,INPUT_DATA!$A:$A,$B29,INPUT_DATA!$C:$C,"S"))</f>
        <v/>
      </c>
      <c r="AJ29" s="312" t="str">
        <f>IF($B29=0,"",SUMIFS(INPUT_DATA!AI:AI,INPUT_DATA!$A:$A,$B29,INPUT_DATA!$C:$C,"S"))</f>
        <v/>
      </c>
      <c r="AK29" s="312" t="str">
        <f>IF($B29=0,"",SUMIFS(INPUT_DATA!AJ:AJ,INPUT_DATA!$A:$A,$B29,INPUT_DATA!$C:$C,"S"))</f>
        <v/>
      </c>
      <c r="AL29" s="312" t="str">
        <f>IF($B29=0,"",SUMIFS(INPUT_DATA!AK:AK,INPUT_DATA!$A:$A,$B29,INPUT_DATA!$C:$C,"S"))</f>
        <v/>
      </c>
      <c r="AM29" s="312" t="str">
        <f>IF($B29=0,"",SUMIFS(INPUT_DATA!AL:AL,INPUT_DATA!$A:$A,$B29,INPUT_DATA!$C:$C,"S"))</f>
        <v/>
      </c>
      <c r="AN29" s="312" t="str">
        <f>IF($B29=0,"",SUMIFS(INPUT_DATA!AM:AM,INPUT_DATA!$A:$A,$B29,INPUT_DATA!$C:$C,"S"))</f>
        <v/>
      </c>
      <c r="AO29" s="312" t="str">
        <f>IF($B29=0,"",SUMIFS(INPUT_DATA!AN:AN,INPUT_DATA!$A:$A,$B29,INPUT_DATA!$C:$C,"S"))</f>
        <v/>
      </c>
      <c r="AP29" s="312" t="str">
        <f>IF($B29=0,"",SUMIFS(INPUT_DATA!AO:AO,INPUT_DATA!$A:$A,$B29,INPUT_DATA!$C:$C,"S"))</f>
        <v/>
      </c>
      <c r="AQ29" s="312" t="str">
        <f>IF($B29=0,"",SUMIFS(INPUT_DATA!AP:AP,INPUT_DATA!$A:$A,$B29,INPUT_DATA!$C:$C,"S"))</f>
        <v/>
      </c>
      <c r="AR29" s="312" t="str">
        <f>IF($B29=0,"",SUMIFS(INPUT_DATA!AQ:AQ,INPUT_DATA!$A:$A,$B29,INPUT_DATA!$C:$C,"S"))</f>
        <v/>
      </c>
      <c r="AS29" s="1034" t="str">
        <f t="shared" si="29"/>
        <v/>
      </c>
      <c r="AT29" s="1035" t="str">
        <f t="shared" si="30"/>
        <v/>
      </c>
      <c r="AU29" s="1036" t="str">
        <f t="shared" si="31"/>
        <v/>
      </c>
      <c r="AV29" s="1034" t="str">
        <f>IF($B29=0,"",SUMIFS(INPUT_DATA!AR:AR,INPUT_DATA!$A:$A,$B29,INPUT_DATA!$C:$C,"S"))</f>
        <v/>
      </c>
      <c r="AW29" s="1035" t="str">
        <f>IF($B29=0,"",SUMIFS(INPUT_DATA!AS:AS,INPUT_DATA!$A:$A,$B29,INPUT_DATA!$C:$C,"S"))</f>
        <v/>
      </c>
      <c r="AX29" s="1036" t="str">
        <f>IF($B29=0,"",SUMIFS(INPUT_DATA!AT:AT,INPUT_DATA!$A:$A,$B29,INPUT_DATA!$C:$C,"S"))</f>
        <v/>
      </c>
      <c r="AY29" s="1034" t="str">
        <f t="shared" si="15"/>
        <v/>
      </c>
      <c r="AZ29" s="1035" t="str">
        <f t="shared" si="16"/>
        <v/>
      </c>
      <c r="BA29" s="1036" t="str">
        <f t="shared" si="17"/>
        <v/>
      </c>
      <c r="BB29" s="150"/>
      <c r="BC29" s="1031" t="str">
        <f>IF($B29=0,"",SUMIFS(INPUT_DATA!D:D,INPUT_DATA!$A:$A,$B29,INPUT_DATA!$C:$C,"D"))</f>
        <v/>
      </c>
      <c r="BD29" s="311" t="str">
        <f>IF($B29=0,"",SUMIFS(INPUT_DATA!F:F,INPUT_DATA!$A:$A,$B29,INPUT_DATA!$C:$C,"D"))</f>
        <v/>
      </c>
      <c r="BE29" s="311" t="str">
        <f>IF($B29=0,"",SUMIFS(INPUT_DATA!G:G,INPUT_DATA!$A:$A,$B29,INPUT_DATA!$C:$C,"D"))</f>
        <v/>
      </c>
      <c r="BF29" s="311" t="str">
        <f>IF($B29=0,"",SUMIFS(INPUT_DATA!H:H,INPUT_DATA!$A:$A,$B29,INPUT_DATA!$C:$C,"D"))</f>
        <v/>
      </c>
      <c r="BG29" s="311" t="str">
        <f>IF($B29=0,"",SUMIFS(INPUT_DATA!I:I,INPUT_DATA!$A:$A,$B29,INPUT_DATA!$C:$C,"D"))</f>
        <v/>
      </c>
      <c r="BH29" s="311" t="str">
        <f>IF($B29=0,"",SUMIFS(INPUT_DATA!J:J,INPUT_DATA!$A:$A,$B29,INPUT_DATA!$C:$C,"D"))</f>
        <v/>
      </c>
      <c r="BI29" s="311" t="str">
        <f>IF($B29=0,"",SUMIFS(INPUT_DATA!K:K,INPUT_DATA!$A:$A,$B29,INPUT_DATA!$C:$C,"D"))</f>
        <v/>
      </c>
      <c r="BJ29" s="311" t="str">
        <f>IF($B29=0,"",SUMIFS(INPUT_DATA!L:L,INPUT_DATA!$A:$A,$B29,INPUT_DATA!$C:$C,"D"))</f>
        <v/>
      </c>
      <c r="BK29" s="311" t="str">
        <f>IF($B29=0,"",SUMIFS(INPUT_DATA!M:M,INPUT_DATA!$A:$A,$B29,INPUT_DATA!$C:$C,"D"))</f>
        <v/>
      </c>
      <c r="BL29" s="311" t="str">
        <f>IF($B29=0,"",SUMIFS(INPUT_DATA!N:N,INPUT_DATA!$A:$A,$B29,INPUT_DATA!$C:$C,"D"))</f>
        <v/>
      </c>
      <c r="BM29" s="311" t="str">
        <f>IF($B29=0,"",SUMIFS(INPUT_DATA!O:O,INPUT_DATA!$A:$A,$B29,INPUT_DATA!$C:$C,"D"))</f>
        <v/>
      </c>
      <c r="BN29" s="1037" t="str">
        <f t="shared" si="18"/>
        <v/>
      </c>
      <c r="BO29" s="1037" t="str">
        <f>IF($B29=0,"",SUMIFS(INPUT_DATA!O:O,INPUT_DATA!$A:$A,$B29,INPUT_DATA!$C:$C,"D"))</f>
        <v/>
      </c>
      <c r="BP29" s="1037" t="str">
        <f t="shared" si="19"/>
        <v/>
      </c>
      <c r="BQ29" s="1031" t="str">
        <f>IF($B29=0,"",SUMIFS(INPUT_DATA!Q:Q,INPUT_DATA!$A:$A,$B29,INPUT_DATA!$C:$C,"D"))</f>
        <v/>
      </c>
      <c r="BR29" s="1038" t="str">
        <f>IF($B29=0,"",SUMIFS(INPUT_DATA!R:R,INPUT_DATA!$A:$A,$B29,INPUT_DATA!$C:$C,"D"))</f>
        <v/>
      </c>
      <c r="BS29" s="1038" t="str">
        <f>IF($B29=0,"",SUMIFS(INPUT_DATA!S:S,INPUT_DATA!$A:$A,$B29,INPUT_DATA!$C:$C,"D"))</f>
        <v/>
      </c>
      <c r="BT29" s="311" t="str">
        <f>IF($B29=0,"",SUMIFS(INPUT_DATA!T:T,INPUT_DATA!$A:$A,$B29,INPUT_DATA!$C:$C,"D"))</f>
        <v/>
      </c>
      <c r="BU29" s="311" t="str">
        <f>IF($B29=0,"",SUMIFS(INPUT_DATA!U:U,INPUT_DATA!$A:$A,$B29,INPUT_DATA!$C:$C,"D"))</f>
        <v/>
      </c>
      <c r="BV29" s="311" t="str">
        <f>IF($B29=0,"",SUMIFS(INPUT_DATA!V:V,INPUT_DATA!$A:$A,$B29,INPUT_DATA!$C:$C,"D"))</f>
        <v/>
      </c>
      <c r="BW29" s="311" t="str">
        <f>IF($B29=0,"",SUMIFS(INPUT_DATA!W:W,INPUT_DATA!$A:$A,$B29,INPUT_DATA!$C:$C,"D"))</f>
        <v/>
      </c>
      <c r="BX29" s="311" t="str">
        <f>IF($B29=0,"",SUMIFS(INPUT_DATA!X:X,INPUT_DATA!$A:$A,$B29,INPUT_DATA!$C:$C,"D"))</f>
        <v/>
      </c>
      <c r="BY29" s="311" t="str">
        <f>IF($B29=0,"",SUMIFS(INPUT_DATA!Y:Y,INPUT_DATA!$A:$A,$B29,INPUT_DATA!$C:$C,"D"))</f>
        <v/>
      </c>
      <c r="BZ29" s="352" t="str">
        <f>IF($B29=0,"",SUMIFS(INPUT_DATA!Z:Z,INPUT_DATA!$A:$A,$B29,INPUT_DATA!$C:$C,"D"))</f>
        <v/>
      </c>
      <c r="CA29" s="352" t="str">
        <f>IF($B29=0,"",SUMIFS(INPUT_DATA!AA:AA,INPUT_DATA!$A:$A,$B29,INPUT_DATA!$C:$C,"D"))</f>
        <v/>
      </c>
      <c r="CB29" s="352" t="str">
        <f>IF($B29=0,"",SUMIFS(INPUT_DATA!AB:AB,INPUT_DATA!$A:$A,$B29,INPUT_DATA!$C:$C,"D"))</f>
        <v/>
      </c>
      <c r="CC29" s="311" t="str">
        <f>IF($B29=0,"",SUMIFS(INPUT_DATA!AC:AC,INPUT_DATA!$A:$A,$B29,INPUT_DATA!$C:$C,"D"))</f>
        <v/>
      </c>
      <c r="CD29" s="311" t="str">
        <f>IF($B29=0,"",SUMIFS(INPUT_DATA!AD:AD,INPUT_DATA!$A:$A,$B29,INPUT_DATA!$C:$C,"D"))</f>
        <v/>
      </c>
      <c r="CE29" s="311" t="str">
        <f>IF($B29=0,"",SUMIFS(INPUT_DATA!AE:AE,INPUT_DATA!$A:$A,$B29,INPUT_DATA!$C:$C,"D"))</f>
        <v/>
      </c>
      <c r="CF29" s="352" t="str">
        <f>IF($B29=0,"",SUMIFS(INPUT_DATA!AF:AF,INPUT_DATA!$A:$A,$B29,INPUT_DATA!$C:$C,"D"))</f>
        <v/>
      </c>
      <c r="CG29" s="352" t="str">
        <f>IF($B29=0,"",SUMIFS(INPUT_DATA!AG:AG,INPUT_DATA!$A:$A,$B29,INPUT_DATA!$C:$C,"D"))</f>
        <v/>
      </c>
      <c r="CH29" s="352" t="str">
        <f>IF($B29=0,"",SUMIFS(INPUT_DATA!AH:AH,INPUT_DATA!$A:$A,$B29,INPUT_DATA!$C:$C,"D"))</f>
        <v/>
      </c>
      <c r="CI29" s="153" t="str">
        <f>IF($B29=0,"",SUMIFS(INPUT_DATA!AI:AI,INPUT_DATA!$A:$A,$B29,INPUT_DATA!$C:$C,"D"))</f>
        <v/>
      </c>
      <c r="CJ29" s="153" t="str">
        <f>IF($B29=0,"",SUMIFS(INPUT_DATA!AJ:AJ,INPUT_DATA!$A:$A,$B29,INPUT_DATA!$C:$C,"D"))</f>
        <v/>
      </c>
      <c r="CK29" s="153" t="str">
        <f>IF($B29=0,"",SUMIFS(INPUT_DATA!AK:AK,INPUT_DATA!$A:$A,$B29,INPUT_DATA!$C:$C,"D"))</f>
        <v/>
      </c>
      <c r="CL29" s="153" t="str">
        <f>IF($B29=0,"",SUMIFS(INPUT_DATA!AL:AL,INPUT_DATA!$A:$A,$B29,INPUT_DATA!$C:$C,"D"))</f>
        <v/>
      </c>
      <c r="CM29" s="153" t="str">
        <f>IF($B29=0,"",SUMIFS(INPUT_DATA!AM:AM,INPUT_DATA!$A:$A,$B29,INPUT_DATA!$C:$C,"D"))</f>
        <v/>
      </c>
      <c r="CN29" s="153" t="str">
        <f>IF($B29=0,"",SUMIFS(INPUT_DATA!AN:AN,INPUT_DATA!$A:$A,$B29,INPUT_DATA!$C:$C,"D"))</f>
        <v/>
      </c>
      <c r="CO29" s="153" t="str">
        <f>IF($B29=0,"",SUMIFS(INPUT_DATA!AO:AO,INPUT_DATA!$A:$A,$B29,INPUT_DATA!$C:$C,"D"))</f>
        <v/>
      </c>
      <c r="CP29" s="153" t="str">
        <f>IF($B29=0,"",SUMIFS(INPUT_DATA!AP:AP,INPUT_DATA!$A:$A,$B29,INPUT_DATA!$C:$C,"D"))</f>
        <v/>
      </c>
      <c r="CQ29" s="153" t="str">
        <f>IF($B29=0,"",SUMIFS(INPUT_DATA!AQ:AQ,INPUT_DATA!$A:$A,$B29,INPUT_DATA!$C:$C,"D"))</f>
        <v/>
      </c>
      <c r="CR29" s="1035" t="str">
        <f t="shared" si="32"/>
        <v/>
      </c>
      <c r="CS29" s="1035" t="str">
        <f t="shared" si="33"/>
        <v/>
      </c>
      <c r="CT29" s="1035" t="str">
        <f t="shared" si="34"/>
        <v/>
      </c>
      <c r="CU29" s="366" t="str">
        <f>IF($B29=0,"",SUMIFS(INPUT_DATA!AR:AR,INPUT_DATA!$A:$A,$B29,INPUT_DATA!$C:$C,"D"))</f>
        <v/>
      </c>
      <c r="CV29" s="366" t="str">
        <f>IF($B29=0,"",SUMIFS(INPUT_DATA!AS:AS,INPUT_DATA!$A:$A,$B29,INPUT_DATA!$C:$C,"D"))</f>
        <v/>
      </c>
      <c r="CW29" s="366" t="str">
        <f>IF($B29=0,"",SUMIFS(INPUT_DATA!AT:AT,INPUT_DATA!$A:$A,$B29,INPUT_DATA!$C:$C,"D"))</f>
        <v/>
      </c>
      <c r="CX29" s="366" t="str">
        <f t="shared" si="35"/>
        <v/>
      </c>
      <c r="CY29" s="1035" t="str">
        <f t="shared" si="36"/>
        <v/>
      </c>
      <c r="CZ29" s="1039" t="str">
        <f t="shared" si="37"/>
        <v/>
      </c>
      <c r="DA29" s="150"/>
    </row>
    <row r="30" spans="2:105" x14ac:dyDescent="0.2">
      <c r="B30" s="720">
        <f>INPUT_DATA!BQ17</f>
        <v>0</v>
      </c>
      <c r="C30" s="725" t="str">
        <f>IF($B30=0,"",SUMIFS(INPUT_DATA!D:D,INPUT_DATA!$A:$A,$B30,INPUT_DATA!$C:$C,"S"))</f>
        <v/>
      </c>
      <c r="D30" s="726" t="str">
        <f>IF($B30=0,"",SUMIFS(INPUT_DATA!E:E,INPUT_DATA!$A:$A,$B30,INPUT_DATA!$C:$C,"S"))</f>
        <v/>
      </c>
      <c r="E30" s="727" t="str">
        <f>IF($B30=0,"",SUMIFS(INPUT_DATA!F:F,INPUT_DATA!$A:$A,$B30,INPUT_DATA!$C:$C,"S"))</f>
        <v/>
      </c>
      <c r="F30" s="727" t="str">
        <f>IF($B30=0,"",SUMIFS(INPUT_DATA!G:G,INPUT_DATA!$A:$A,$B30,INPUT_DATA!$C:$C,"S"))</f>
        <v/>
      </c>
      <c r="G30" s="727" t="str">
        <f>IF($B30=0,"",SUMIFS(INPUT_DATA!H:H,INPUT_DATA!$A:$A,$B30,INPUT_DATA!$C:$C,"S"))</f>
        <v/>
      </c>
      <c r="H30" s="727" t="str">
        <f>IF($B30=0,"",SUMIFS(INPUT_DATA!I:I,INPUT_DATA!$A:$A,$B30,INPUT_DATA!$C:$C,"S"))</f>
        <v/>
      </c>
      <c r="I30" s="727" t="str">
        <f>IF($B30=0,"",SUMIFS(INPUT_DATA!J:J,INPUT_DATA!$A:$A,$B30,INPUT_DATA!$C:$C,"S"))</f>
        <v/>
      </c>
      <c r="J30" s="727" t="str">
        <f>IF($B30=0,"",SUMIFS(INPUT_DATA!K:K,INPUT_DATA!$A:$A,$B30,INPUT_DATA!$C:$C,"S"))</f>
        <v/>
      </c>
      <c r="K30" s="727" t="str">
        <f>IF($B30=0,"",SUMIFS(INPUT_DATA!L:L,INPUT_DATA!$A:$A,$B30,INPUT_DATA!$C:$C,"S"))</f>
        <v/>
      </c>
      <c r="L30" s="727" t="str">
        <f>IF($B30=0,"",SUMIFS(INPUT_DATA!M:M,INPUT_DATA!$A:$A,$B30,INPUT_DATA!$C:$C,"S"))</f>
        <v/>
      </c>
      <c r="M30" s="727" t="str">
        <f>IF($B30=0,"",SUMIFS(INPUT_DATA!N:N,INPUT_DATA!$A:$A,$B30,INPUT_DATA!$C:$C,"S"))</f>
        <v/>
      </c>
      <c r="N30" s="727" t="str">
        <f>IF($B30=0,"",SUMIFS(INPUT_DATA!O:O,INPUT_DATA!$A:$A,$B30,INPUT_DATA!$C:$C,"S"))</f>
        <v/>
      </c>
      <c r="O30" s="728" t="str">
        <f t="shared" si="38"/>
        <v/>
      </c>
      <c r="P30" s="729" t="str">
        <f>IF($B30=0,"",SUMIFS(INPUT_DATA!P:P,INPUT_DATA!$A:$A,$B30,INPUT_DATA!$C:$C,"S"))</f>
        <v/>
      </c>
      <c r="Q30" s="729" t="str">
        <f t="shared" si="39"/>
        <v/>
      </c>
      <c r="R30" s="735" t="str">
        <f>IF($B30=0,"",SUMIFS(INPUT_DATA!Q:Q,INPUT_DATA!$A:$A,$B30,INPUT_DATA!$C:$C,"S"))</f>
        <v/>
      </c>
      <c r="S30" s="735" t="str">
        <f>IF($B30=0,"",SUMIFS(INPUT_DATA!R:R,INPUT_DATA!$A:$A,$B30,INPUT_DATA!$C:$C,"S"))</f>
        <v/>
      </c>
      <c r="T30" s="735" t="str">
        <f>IF($B30=0,"",SUMIFS(INPUT_DATA!S:S,INPUT_DATA!$A:$A,$B30,INPUT_DATA!$C:$C,"S"))</f>
        <v/>
      </c>
      <c r="U30" s="312" t="str">
        <f>IF($B30=0,"",SUMIFS(INPUT_DATA!T:T,INPUT_DATA!$A:$A,$B30,INPUT_DATA!$C:$C,"S"))</f>
        <v/>
      </c>
      <c r="V30" s="312" t="str">
        <f>IF($B30=0,"",SUMIFS(INPUT_DATA!U:U,INPUT_DATA!$A:$A,$B30,INPUT_DATA!$C:$C,"S"))</f>
        <v/>
      </c>
      <c r="W30" s="312" t="str">
        <f>IF($B30=0,"",SUMIFS(INPUT_DATA!V:V,INPUT_DATA!$A:$A,$B30,INPUT_DATA!$C:$C,"S"))</f>
        <v/>
      </c>
      <c r="X30" s="312" t="str">
        <f>IF($B30=0,"",SUMIFS(INPUT_DATA!W:W,INPUT_DATA!$A:$A,$B30,INPUT_DATA!$C:$C,"S"))</f>
        <v/>
      </c>
      <c r="Y30" s="312" t="str">
        <f>IF($B30=0,"",SUMIFS(INPUT_DATA!X:X,INPUT_DATA!$A:$A,$B30,INPUT_DATA!$C:$C,"S"))</f>
        <v/>
      </c>
      <c r="Z30" s="312" t="str">
        <f>IF($B30=0,"",SUMIFS(INPUT_DATA!Y:Y,INPUT_DATA!$A:$A,$B30,INPUT_DATA!$C:$C,"S"))</f>
        <v/>
      </c>
      <c r="AA30" s="312" t="str">
        <f>IF($B30=0,"",SUMIFS(INPUT_DATA!Z:Z,INPUT_DATA!$A:$A,$B30,INPUT_DATA!$C:$C,"S"))</f>
        <v/>
      </c>
      <c r="AB30" s="312" t="str">
        <f>IF($B30=0,"",SUMIFS(INPUT_DATA!AA:AA,INPUT_DATA!$A:$A,$B30,INPUT_DATA!$C:$C,"S"))</f>
        <v/>
      </c>
      <c r="AC30" s="312" t="str">
        <f>IF($B30=0,"",SUMIFS(INPUT_DATA!AB:AB,INPUT_DATA!$A:$A,$B30,INPUT_DATA!$C:$C,"S"))</f>
        <v/>
      </c>
      <c r="AD30" s="312" t="str">
        <f>IF($B30=0,"",SUMIFS(INPUT_DATA!AC:AC,INPUT_DATA!$A:$A,$B30,INPUT_DATA!$C:$C,"S"))</f>
        <v/>
      </c>
      <c r="AE30" s="312" t="str">
        <f>IF($B30=0,"",SUMIFS(INPUT_DATA!AD:AD,INPUT_DATA!$A:$A,$B30,INPUT_DATA!$C:$C,"S"))</f>
        <v/>
      </c>
      <c r="AF30" s="312" t="str">
        <f>IF($B30=0,"",SUMIFS(INPUT_DATA!AE:AE,INPUT_DATA!$A:$A,$B30,INPUT_DATA!$C:$C,"S"))</f>
        <v/>
      </c>
      <c r="AG30" s="312" t="str">
        <f>IF($B30=0,"",SUMIFS(INPUT_DATA!AF:AF,INPUT_DATA!$A:$A,$B30,INPUT_DATA!$C:$C,"S"))</f>
        <v/>
      </c>
      <c r="AH30" s="312" t="str">
        <f>IF($B30=0,"",SUMIFS(INPUT_DATA!AG:AG,INPUT_DATA!$A:$A,$B30,INPUT_DATA!$C:$C,"S"))</f>
        <v/>
      </c>
      <c r="AI30" s="312" t="str">
        <f>IF($B30=0,"",SUMIFS(INPUT_DATA!AH:AH,INPUT_DATA!$A:$A,$B30,INPUT_DATA!$C:$C,"S"))</f>
        <v/>
      </c>
      <c r="AJ30" s="312" t="str">
        <f>IF($B30=0,"",SUMIFS(INPUT_DATA!AI:AI,INPUT_DATA!$A:$A,$B30,INPUT_DATA!$C:$C,"S"))</f>
        <v/>
      </c>
      <c r="AK30" s="312" t="str">
        <f>IF($B30=0,"",SUMIFS(INPUT_DATA!AJ:AJ,INPUT_DATA!$A:$A,$B30,INPUT_DATA!$C:$C,"S"))</f>
        <v/>
      </c>
      <c r="AL30" s="312" t="str">
        <f>IF($B30=0,"",SUMIFS(INPUT_DATA!AK:AK,INPUT_DATA!$A:$A,$B30,INPUT_DATA!$C:$C,"S"))</f>
        <v/>
      </c>
      <c r="AM30" s="312" t="str">
        <f>IF($B30=0,"",SUMIFS(INPUT_DATA!AL:AL,INPUT_DATA!$A:$A,$B30,INPUT_DATA!$C:$C,"S"))</f>
        <v/>
      </c>
      <c r="AN30" s="312" t="str">
        <f>IF($B30=0,"",SUMIFS(INPUT_DATA!AM:AM,INPUT_DATA!$A:$A,$B30,INPUT_DATA!$C:$C,"S"))</f>
        <v/>
      </c>
      <c r="AO30" s="312" t="str">
        <f>IF($B30=0,"",SUMIFS(INPUT_DATA!AN:AN,INPUT_DATA!$A:$A,$B30,INPUT_DATA!$C:$C,"S"))</f>
        <v/>
      </c>
      <c r="AP30" s="312" t="str">
        <f>IF($B30=0,"",SUMIFS(INPUT_DATA!AO:AO,INPUT_DATA!$A:$A,$B30,INPUT_DATA!$C:$C,"S"))</f>
        <v/>
      </c>
      <c r="AQ30" s="312" t="str">
        <f>IF($B30=0,"",SUMIFS(INPUT_DATA!AP:AP,INPUT_DATA!$A:$A,$B30,INPUT_DATA!$C:$C,"S"))</f>
        <v/>
      </c>
      <c r="AR30" s="312" t="str">
        <f>IF($B30=0,"",SUMIFS(INPUT_DATA!AQ:AQ,INPUT_DATA!$A:$A,$B30,INPUT_DATA!$C:$C,"S"))</f>
        <v/>
      </c>
      <c r="AS30" s="736" t="str">
        <f t="shared" si="29"/>
        <v/>
      </c>
      <c r="AT30" s="737" t="str">
        <f t="shared" si="30"/>
        <v/>
      </c>
      <c r="AU30" s="738" t="str">
        <f t="shared" si="31"/>
        <v/>
      </c>
      <c r="AV30" s="736" t="str">
        <f>IF($B30=0,"",SUMIFS(INPUT_DATA!AR:AR,INPUT_DATA!$A:$A,$B30,INPUT_DATA!$C:$C,"S"))</f>
        <v/>
      </c>
      <c r="AW30" s="737" t="str">
        <f>IF($B30=0,"",SUMIFS(INPUT_DATA!AS:AS,INPUT_DATA!$A:$A,$B30,INPUT_DATA!$C:$C,"S"))</f>
        <v/>
      </c>
      <c r="AX30" s="738" t="str">
        <f>IF($B30=0,"",SUMIFS(INPUT_DATA!AT:AT,INPUT_DATA!$A:$A,$B30,INPUT_DATA!$C:$C,"S"))</f>
        <v/>
      </c>
      <c r="AY30" s="736" t="str">
        <f t="shared" si="15"/>
        <v/>
      </c>
      <c r="AZ30" s="737" t="str">
        <f t="shared" si="16"/>
        <v/>
      </c>
      <c r="BA30" s="738" t="str">
        <f t="shared" si="17"/>
        <v/>
      </c>
      <c r="BB30" s="150"/>
      <c r="BC30" s="725" t="str">
        <f>IF($B30=0,"",SUMIFS(INPUT_DATA!D:D,INPUT_DATA!$A:$A,$B30,INPUT_DATA!$C:$C,"D"))</f>
        <v/>
      </c>
      <c r="BD30" s="311" t="str">
        <f>IF($B30=0,"",SUMIFS(INPUT_DATA!F:F,INPUT_DATA!$A:$A,$B30,INPUT_DATA!$C:$C,"D"))</f>
        <v/>
      </c>
      <c r="BE30" s="311" t="str">
        <f>IF($B30=0,"",SUMIFS(INPUT_DATA!G:G,INPUT_DATA!$A:$A,$B30,INPUT_DATA!$C:$C,"D"))</f>
        <v/>
      </c>
      <c r="BF30" s="311" t="str">
        <f>IF($B30=0,"",SUMIFS(INPUT_DATA!H:H,INPUT_DATA!$A:$A,$B30,INPUT_DATA!$C:$C,"D"))</f>
        <v/>
      </c>
      <c r="BG30" s="311" t="str">
        <f>IF($B30=0,"",SUMIFS(INPUT_DATA!I:I,INPUT_DATA!$A:$A,$B30,INPUT_DATA!$C:$C,"D"))</f>
        <v/>
      </c>
      <c r="BH30" s="311" t="str">
        <f>IF($B30=0,"",SUMIFS(INPUT_DATA!J:J,INPUT_DATA!$A:$A,$B30,INPUT_DATA!$C:$C,"D"))</f>
        <v/>
      </c>
      <c r="BI30" s="311" t="str">
        <f>IF($B30=0,"",SUMIFS(INPUT_DATA!K:K,INPUT_DATA!$A:$A,$B30,INPUT_DATA!$C:$C,"D"))</f>
        <v/>
      </c>
      <c r="BJ30" s="311" t="str">
        <f>IF($B30=0,"",SUMIFS(INPUT_DATA!L:L,INPUT_DATA!$A:$A,$B30,INPUT_DATA!$C:$C,"D"))</f>
        <v/>
      </c>
      <c r="BK30" s="311" t="str">
        <f>IF($B30=0,"",SUMIFS(INPUT_DATA!M:M,INPUT_DATA!$A:$A,$B30,INPUT_DATA!$C:$C,"D"))</f>
        <v/>
      </c>
      <c r="BL30" s="311" t="str">
        <f>IF($B30=0,"",SUMIFS(INPUT_DATA!N:N,INPUT_DATA!$A:$A,$B30,INPUT_DATA!$C:$C,"D"))</f>
        <v/>
      </c>
      <c r="BM30" s="311" t="str">
        <f>IF($B30=0,"",SUMIFS(INPUT_DATA!O:O,INPUT_DATA!$A:$A,$B30,INPUT_DATA!$C:$C,"D"))</f>
        <v/>
      </c>
      <c r="BN30" s="741" t="str">
        <f t="shared" si="18"/>
        <v/>
      </c>
      <c r="BO30" s="741" t="str">
        <f>IF($B30=0,"",SUMIFS(INPUT_DATA!O:O,INPUT_DATA!$A:$A,$B30,INPUT_DATA!$C:$C,"D"))</f>
        <v/>
      </c>
      <c r="BP30" s="741" t="str">
        <f t="shared" si="19"/>
        <v/>
      </c>
      <c r="BQ30" s="725" t="str">
        <f>IF($B30=0,"",SUMIFS(INPUT_DATA!Q:Q,INPUT_DATA!$A:$A,$B30,INPUT_DATA!$C:$C,"D"))</f>
        <v/>
      </c>
      <c r="BR30" s="747" t="str">
        <f>IF($B30=0,"",SUMIFS(INPUT_DATA!R:R,INPUT_DATA!$A:$A,$B30,INPUT_DATA!$C:$C,"D"))</f>
        <v/>
      </c>
      <c r="BS30" s="747" t="str">
        <f>IF($B30=0,"",SUMIFS(INPUT_DATA!S:S,INPUT_DATA!$A:$A,$B30,INPUT_DATA!$C:$C,"D"))</f>
        <v/>
      </c>
      <c r="BT30" s="311" t="str">
        <f>IF($B30=0,"",SUMIFS(INPUT_DATA!T:T,INPUT_DATA!$A:$A,$B30,INPUT_DATA!$C:$C,"D"))</f>
        <v/>
      </c>
      <c r="BU30" s="311" t="str">
        <f>IF($B30=0,"",SUMIFS(INPUT_DATA!U:U,INPUT_DATA!$A:$A,$B30,INPUT_DATA!$C:$C,"D"))</f>
        <v/>
      </c>
      <c r="BV30" s="311" t="str">
        <f>IF($B30=0,"",SUMIFS(INPUT_DATA!V:V,INPUT_DATA!$A:$A,$B30,INPUT_DATA!$C:$C,"D"))</f>
        <v/>
      </c>
      <c r="BW30" s="311" t="str">
        <f>IF($B30=0,"",SUMIFS(INPUT_DATA!W:W,INPUT_DATA!$A:$A,$B30,INPUT_DATA!$C:$C,"D"))</f>
        <v/>
      </c>
      <c r="BX30" s="311" t="str">
        <f>IF($B30=0,"",SUMIFS(INPUT_DATA!X:X,INPUT_DATA!$A:$A,$B30,INPUT_DATA!$C:$C,"D"))</f>
        <v/>
      </c>
      <c r="BY30" s="311" t="str">
        <f>IF($B30=0,"",SUMIFS(INPUT_DATA!Y:Y,INPUT_DATA!$A:$A,$B30,INPUT_DATA!$C:$C,"D"))</f>
        <v/>
      </c>
      <c r="BZ30" s="352" t="str">
        <f>IF($B30=0,"",SUMIFS(INPUT_DATA!Z:Z,INPUT_DATA!$A:$A,$B30,INPUT_DATA!$C:$C,"D"))</f>
        <v/>
      </c>
      <c r="CA30" s="352" t="str">
        <f>IF($B30=0,"",SUMIFS(INPUT_DATA!AA:AA,INPUT_DATA!$A:$A,$B30,INPUT_DATA!$C:$C,"D"))</f>
        <v/>
      </c>
      <c r="CB30" s="352" t="str">
        <f>IF($B30=0,"",SUMIFS(INPUT_DATA!AB:AB,INPUT_DATA!$A:$A,$B30,INPUT_DATA!$C:$C,"D"))</f>
        <v/>
      </c>
      <c r="CC30" s="311" t="str">
        <f>IF($B30=0,"",SUMIFS(INPUT_DATA!AC:AC,INPUT_DATA!$A:$A,$B30,INPUT_DATA!$C:$C,"D"))</f>
        <v/>
      </c>
      <c r="CD30" s="311" t="str">
        <f>IF($B30=0,"",SUMIFS(INPUT_DATA!AD:AD,INPUT_DATA!$A:$A,$B30,INPUT_DATA!$C:$C,"D"))</f>
        <v/>
      </c>
      <c r="CE30" s="311" t="str">
        <f>IF($B30=0,"",SUMIFS(INPUT_DATA!AE:AE,INPUT_DATA!$A:$A,$B30,INPUT_DATA!$C:$C,"D"))</f>
        <v/>
      </c>
      <c r="CF30" s="352" t="str">
        <f>IF($B30=0,"",SUMIFS(INPUT_DATA!AF:AF,INPUT_DATA!$A:$A,$B30,INPUT_DATA!$C:$C,"D"))</f>
        <v/>
      </c>
      <c r="CG30" s="352" t="str">
        <f>IF($B30=0,"",SUMIFS(INPUT_DATA!AG:AG,INPUT_DATA!$A:$A,$B30,INPUT_DATA!$C:$C,"D"))</f>
        <v/>
      </c>
      <c r="CH30" s="352" t="str">
        <f>IF($B30=0,"",SUMIFS(INPUT_DATA!AH:AH,INPUT_DATA!$A:$A,$B30,INPUT_DATA!$C:$C,"D"))</f>
        <v/>
      </c>
      <c r="CI30" s="153" t="str">
        <f>IF($B30=0,"",SUMIFS(INPUT_DATA!AI:AI,INPUT_DATA!$A:$A,$B30,INPUT_DATA!$C:$C,"D"))</f>
        <v/>
      </c>
      <c r="CJ30" s="153" t="str">
        <f>IF($B30=0,"",SUMIFS(INPUT_DATA!AJ:AJ,INPUT_DATA!$A:$A,$B30,INPUT_DATA!$C:$C,"D"))</f>
        <v/>
      </c>
      <c r="CK30" s="153" t="str">
        <f>IF($B30=0,"",SUMIFS(INPUT_DATA!AK:AK,INPUT_DATA!$A:$A,$B30,INPUT_DATA!$C:$C,"D"))</f>
        <v/>
      </c>
      <c r="CL30" s="153" t="str">
        <f>IF($B30=0,"",SUMIFS(INPUT_DATA!AL:AL,INPUT_DATA!$A:$A,$B30,INPUT_DATA!$C:$C,"D"))</f>
        <v/>
      </c>
      <c r="CM30" s="153" t="str">
        <f>IF($B30=0,"",SUMIFS(INPUT_DATA!AM:AM,INPUT_DATA!$A:$A,$B30,INPUT_DATA!$C:$C,"D"))</f>
        <v/>
      </c>
      <c r="CN30" s="153" t="str">
        <f>IF($B30=0,"",SUMIFS(INPUT_DATA!AN:AN,INPUT_DATA!$A:$A,$B30,INPUT_DATA!$C:$C,"D"))</f>
        <v/>
      </c>
      <c r="CO30" s="153" t="str">
        <f>IF($B30=0,"",SUMIFS(INPUT_DATA!AO:AO,INPUT_DATA!$A:$A,$B30,INPUT_DATA!$C:$C,"D"))</f>
        <v/>
      </c>
      <c r="CP30" s="153" t="str">
        <f>IF($B30=0,"",SUMIFS(INPUT_DATA!AP:AP,INPUT_DATA!$A:$A,$B30,INPUT_DATA!$C:$C,"D"))</f>
        <v/>
      </c>
      <c r="CQ30" s="153" t="str">
        <f>IF($B30=0,"",SUMIFS(INPUT_DATA!AQ:AQ,INPUT_DATA!$A:$A,$B30,INPUT_DATA!$C:$C,"D"))</f>
        <v/>
      </c>
      <c r="CR30" s="737" t="str">
        <f t="shared" si="32"/>
        <v/>
      </c>
      <c r="CS30" s="737" t="str">
        <f t="shared" si="33"/>
        <v/>
      </c>
      <c r="CT30" s="737" t="str">
        <f t="shared" si="34"/>
        <v/>
      </c>
      <c r="CU30" s="726" t="str">
        <f>IF($B30=0,"",SUMIFS(INPUT_DATA!AR:AR,INPUT_DATA!$A:$A,$B30,INPUT_DATA!$C:$C,"D"))</f>
        <v/>
      </c>
      <c r="CV30" s="726" t="str">
        <f>IF($B30=0,"",SUMIFS(INPUT_DATA!AS:AS,INPUT_DATA!$A:$A,$B30,INPUT_DATA!$C:$C,"D"))</f>
        <v/>
      </c>
      <c r="CW30" s="726" t="str">
        <f>IF($B30=0,"",SUMIFS(INPUT_DATA!AT:AT,INPUT_DATA!$A:$A,$B30,INPUT_DATA!$C:$C,"D"))</f>
        <v/>
      </c>
      <c r="CX30" s="726" t="str">
        <f t="shared" si="35"/>
        <v/>
      </c>
      <c r="CY30" s="737" t="str">
        <f t="shared" si="36"/>
        <v/>
      </c>
      <c r="CZ30" s="748" t="str">
        <f t="shared" si="37"/>
        <v/>
      </c>
      <c r="DA30" s="150"/>
    </row>
    <row r="31" spans="2:105" x14ac:dyDescent="0.2">
      <c r="B31" s="720">
        <f>INPUT_DATA!BQ18</f>
        <v>0</v>
      </c>
      <c r="C31" s="725" t="str">
        <f>IF($B31=0,"",SUMIFS(INPUT_DATA!D:D,INPUT_DATA!$A:$A,$B31,INPUT_DATA!$C:$C,"S"))</f>
        <v/>
      </c>
      <c r="D31" s="726" t="str">
        <f>IF($B31=0,"",SUMIFS(INPUT_DATA!E:E,INPUT_DATA!$A:$A,$B31,INPUT_DATA!$C:$C,"S"))</f>
        <v/>
      </c>
      <c r="E31" s="727" t="str">
        <f>IF($B31=0,"",SUMIFS(INPUT_DATA!F:F,INPUT_DATA!$A:$A,$B31,INPUT_DATA!$C:$C,"S"))</f>
        <v/>
      </c>
      <c r="F31" s="727" t="str">
        <f>IF($B31=0,"",SUMIFS(INPUT_DATA!G:G,INPUT_DATA!$A:$A,$B31,INPUT_DATA!$C:$C,"S"))</f>
        <v/>
      </c>
      <c r="G31" s="727" t="str">
        <f>IF($B31=0,"",SUMIFS(INPUT_DATA!H:H,INPUT_DATA!$A:$A,$B31,INPUT_DATA!$C:$C,"S"))</f>
        <v/>
      </c>
      <c r="H31" s="727" t="str">
        <f>IF($B31=0,"",SUMIFS(INPUT_DATA!I:I,INPUT_DATA!$A:$A,$B31,INPUT_DATA!$C:$C,"S"))</f>
        <v/>
      </c>
      <c r="I31" s="727" t="str">
        <f>IF($B31=0,"",SUMIFS(INPUT_DATA!J:J,INPUT_DATA!$A:$A,$B31,INPUT_DATA!$C:$C,"S"))</f>
        <v/>
      </c>
      <c r="J31" s="727" t="str">
        <f>IF($B31=0,"",SUMIFS(INPUT_DATA!K:K,INPUT_DATA!$A:$A,$B31,INPUT_DATA!$C:$C,"S"))</f>
        <v/>
      </c>
      <c r="K31" s="727" t="str">
        <f>IF($B31=0,"",SUMIFS(INPUT_DATA!L:L,INPUT_DATA!$A:$A,$B31,INPUT_DATA!$C:$C,"S"))</f>
        <v/>
      </c>
      <c r="L31" s="727" t="str">
        <f>IF($B31=0,"",SUMIFS(INPUT_DATA!M:M,INPUT_DATA!$A:$A,$B31,INPUT_DATA!$C:$C,"S"))</f>
        <v/>
      </c>
      <c r="M31" s="727" t="str">
        <f>IF($B31=0,"",SUMIFS(INPUT_DATA!N:N,INPUT_DATA!$A:$A,$B31,INPUT_DATA!$C:$C,"S"))</f>
        <v/>
      </c>
      <c r="N31" s="727" t="str">
        <f>IF($B31=0,"",SUMIFS(INPUT_DATA!O:O,INPUT_DATA!$A:$A,$B31,INPUT_DATA!$C:$C,"S"))</f>
        <v/>
      </c>
      <c r="O31" s="728" t="str">
        <f t="shared" si="38"/>
        <v/>
      </c>
      <c r="P31" s="729" t="str">
        <f>IF($B31=0,"",SUMIFS(INPUT_DATA!P:P,INPUT_DATA!$A:$A,$B31,INPUT_DATA!$C:$C,"S"))</f>
        <v/>
      </c>
      <c r="Q31" s="729" t="str">
        <f t="shared" si="39"/>
        <v/>
      </c>
      <c r="R31" s="735" t="str">
        <f>IF($B31=0,"",SUMIFS(INPUT_DATA!Q:Q,INPUT_DATA!$A:$A,$B31,INPUT_DATA!$C:$C,"S"))</f>
        <v/>
      </c>
      <c r="S31" s="735" t="str">
        <f>IF($B31=0,"",SUMIFS(INPUT_DATA!R:R,INPUT_DATA!$A:$A,$B31,INPUT_DATA!$C:$C,"S"))</f>
        <v/>
      </c>
      <c r="T31" s="735" t="str">
        <f>IF($B31=0,"",SUMIFS(INPUT_DATA!S:S,INPUT_DATA!$A:$A,$B31,INPUT_DATA!$C:$C,"S"))</f>
        <v/>
      </c>
      <c r="U31" s="312" t="str">
        <f>IF($B31=0,"",SUMIFS(INPUT_DATA!T:T,INPUT_DATA!$A:$A,$B31,INPUT_DATA!$C:$C,"S"))</f>
        <v/>
      </c>
      <c r="V31" s="312" t="str">
        <f>IF($B31=0,"",SUMIFS(INPUT_DATA!U:U,INPUT_DATA!$A:$A,$B31,INPUT_DATA!$C:$C,"S"))</f>
        <v/>
      </c>
      <c r="W31" s="312" t="str">
        <f>IF($B31=0,"",SUMIFS(INPUT_DATA!V:V,INPUT_DATA!$A:$A,$B31,INPUT_DATA!$C:$C,"S"))</f>
        <v/>
      </c>
      <c r="X31" s="312" t="str">
        <f>IF($B31=0,"",SUMIFS(INPUT_DATA!W:W,INPUT_DATA!$A:$A,$B31,INPUT_DATA!$C:$C,"S"))</f>
        <v/>
      </c>
      <c r="Y31" s="312" t="str">
        <f>IF($B31=0,"",SUMIFS(INPUT_DATA!X:X,INPUT_DATA!$A:$A,$B31,INPUT_DATA!$C:$C,"S"))</f>
        <v/>
      </c>
      <c r="Z31" s="312" t="str">
        <f>IF($B31=0,"",SUMIFS(INPUT_DATA!Y:Y,INPUT_DATA!$A:$A,$B31,INPUT_DATA!$C:$C,"S"))</f>
        <v/>
      </c>
      <c r="AA31" s="312" t="str">
        <f>IF($B31=0,"",SUMIFS(INPUT_DATA!Z:Z,INPUT_DATA!$A:$A,$B31,INPUT_DATA!$C:$C,"S"))</f>
        <v/>
      </c>
      <c r="AB31" s="312" t="str">
        <f>IF($B31=0,"",SUMIFS(INPUT_DATA!AA:AA,INPUT_DATA!$A:$A,$B31,INPUT_DATA!$C:$C,"S"))</f>
        <v/>
      </c>
      <c r="AC31" s="312" t="str">
        <f>IF($B31=0,"",SUMIFS(INPUT_DATA!AB:AB,INPUT_DATA!$A:$A,$B31,INPUT_DATA!$C:$C,"S"))</f>
        <v/>
      </c>
      <c r="AD31" s="312" t="str">
        <f>IF($B31=0,"",SUMIFS(INPUT_DATA!AC:AC,INPUT_DATA!$A:$A,$B31,INPUT_DATA!$C:$C,"S"))</f>
        <v/>
      </c>
      <c r="AE31" s="312" t="str">
        <f>IF($B31=0,"",SUMIFS(INPUT_DATA!AD:AD,INPUT_DATA!$A:$A,$B31,INPUT_DATA!$C:$C,"S"))</f>
        <v/>
      </c>
      <c r="AF31" s="312" t="str">
        <f>IF($B31=0,"",SUMIFS(INPUT_DATA!AE:AE,INPUT_DATA!$A:$A,$B31,INPUT_DATA!$C:$C,"S"))</f>
        <v/>
      </c>
      <c r="AG31" s="312" t="str">
        <f>IF($B31=0,"",SUMIFS(INPUT_DATA!AF:AF,INPUT_DATA!$A:$A,$B31,INPUT_DATA!$C:$C,"S"))</f>
        <v/>
      </c>
      <c r="AH31" s="312" t="str">
        <f>IF($B31=0,"",SUMIFS(INPUT_DATA!AG:AG,INPUT_DATA!$A:$A,$B31,INPUT_DATA!$C:$C,"S"))</f>
        <v/>
      </c>
      <c r="AI31" s="312" t="str">
        <f>IF($B31=0,"",SUMIFS(INPUT_DATA!AH:AH,INPUT_DATA!$A:$A,$B31,INPUT_DATA!$C:$C,"S"))</f>
        <v/>
      </c>
      <c r="AJ31" s="312" t="str">
        <f>IF($B31=0,"",SUMIFS(INPUT_DATA!AI:AI,INPUT_DATA!$A:$A,$B31,INPUT_DATA!$C:$C,"S"))</f>
        <v/>
      </c>
      <c r="AK31" s="312" t="str">
        <f>IF($B31=0,"",SUMIFS(INPUT_DATA!AJ:AJ,INPUT_DATA!$A:$A,$B31,INPUT_DATA!$C:$C,"S"))</f>
        <v/>
      </c>
      <c r="AL31" s="312" t="str">
        <f>IF($B31=0,"",SUMIFS(INPUT_DATA!AK:AK,INPUT_DATA!$A:$A,$B31,INPUT_DATA!$C:$C,"S"))</f>
        <v/>
      </c>
      <c r="AM31" s="312" t="str">
        <f>IF($B31=0,"",SUMIFS(INPUT_DATA!AL:AL,INPUT_DATA!$A:$A,$B31,INPUT_DATA!$C:$C,"S"))</f>
        <v/>
      </c>
      <c r="AN31" s="312" t="str">
        <f>IF($B31=0,"",SUMIFS(INPUT_DATA!AM:AM,INPUT_DATA!$A:$A,$B31,INPUT_DATA!$C:$C,"S"))</f>
        <v/>
      </c>
      <c r="AO31" s="312" t="str">
        <f>IF($B31=0,"",SUMIFS(INPUT_DATA!AN:AN,INPUT_DATA!$A:$A,$B31,INPUT_DATA!$C:$C,"S"))</f>
        <v/>
      </c>
      <c r="AP31" s="312" t="str">
        <f>IF($B31=0,"",SUMIFS(INPUT_DATA!AO:AO,INPUT_DATA!$A:$A,$B31,INPUT_DATA!$C:$C,"S"))</f>
        <v/>
      </c>
      <c r="AQ31" s="312" t="str">
        <f>IF($B31=0,"",SUMIFS(INPUT_DATA!AP:AP,INPUT_DATA!$A:$A,$B31,INPUT_DATA!$C:$C,"S"))</f>
        <v/>
      </c>
      <c r="AR31" s="312" t="str">
        <f>IF($B31=0,"",SUMIFS(INPUT_DATA!AQ:AQ,INPUT_DATA!$A:$A,$B31,INPUT_DATA!$C:$C,"S"))</f>
        <v/>
      </c>
      <c r="AS31" s="736" t="str">
        <f t="shared" si="29"/>
        <v/>
      </c>
      <c r="AT31" s="737" t="str">
        <f t="shared" si="30"/>
        <v/>
      </c>
      <c r="AU31" s="738" t="str">
        <f t="shared" si="31"/>
        <v/>
      </c>
      <c r="AV31" s="736" t="str">
        <f>IF($B31=0,"",SUMIFS(INPUT_DATA!AR:AR,INPUT_DATA!$A:$A,$B31,INPUT_DATA!$C:$C,"S"))</f>
        <v/>
      </c>
      <c r="AW31" s="737" t="str">
        <f>IF($B31=0,"",SUMIFS(INPUT_DATA!AS:AS,INPUT_DATA!$A:$A,$B31,INPUT_DATA!$C:$C,"S"))</f>
        <v/>
      </c>
      <c r="AX31" s="738" t="str">
        <f>IF($B31=0,"",SUMIFS(INPUT_DATA!AT:AT,INPUT_DATA!$A:$A,$B31,INPUT_DATA!$C:$C,"S"))</f>
        <v/>
      </c>
      <c r="AY31" s="736" t="str">
        <f t="shared" si="15"/>
        <v/>
      </c>
      <c r="AZ31" s="737" t="str">
        <f t="shared" si="16"/>
        <v/>
      </c>
      <c r="BA31" s="738" t="str">
        <f t="shared" si="17"/>
        <v/>
      </c>
      <c r="BB31" s="150"/>
      <c r="BC31" s="725" t="str">
        <f>IF($B31=0,"",SUMIFS(INPUT_DATA!D:D,INPUT_DATA!$A:$A,$B31,INPUT_DATA!$C:$C,"D"))</f>
        <v/>
      </c>
      <c r="BD31" s="311" t="str">
        <f>IF($B31=0,"",SUMIFS(INPUT_DATA!F:F,INPUT_DATA!$A:$A,$B31,INPUT_DATA!$C:$C,"D"))</f>
        <v/>
      </c>
      <c r="BE31" s="311" t="str">
        <f>IF($B31=0,"",SUMIFS(INPUT_DATA!G:G,INPUT_DATA!$A:$A,$B31,INPUT_DATA!$C:$C,"D"))</f>
        <v/>
      </c>
      <c r="BF31" s="311" t="str">
        <f>IF($B31=0,"",SUMIFS(INPUT_DATA!H:H,INPUT_DATA!$A:$A,$B31,INPUT_DATA!$C:$C,"D"))</f>
        <v/>
      </c>
      <c r="BG31" s="311" t="str">
        <f>IF($B31=0,"",SUMIFS(INPUT_DATA!I:I,INPUT_DATA!$A:$A,$B31,INPUT_DATA!$C:$C,"D"))</f>
        <v/>
      </c>
      <c r="BH31" s="311" t="str">
        <f>IF($B31=0,"",SUMIFS(INPUT_DATA!J:J,INPUT_DATA!$A:$A,$B31,INPUT_DATA!$C:$C,"D"))</f>
        <v/>
      </c>
      <c r="BI31" s="311" t="str">
        <f>IF($B31=0,"",SUMIFS(INPUT_DATA!K:K,INPUT_DATA!$A:$A,$B31,INPUT_DATA!$C:$C,"D"))</f>
        <v/>
      </c>
      <c r="BJ31" s="311" t="str">
        <f>IF($B31=0,"",SUMIFS(INPUT_DATA!L:L,INPUT_DATA!$A:$A,$B31,INPUT_DATA!$C:$C,"D"))</f>
        <v/>
      </c>
      <c r="BK31" s="311" t="str">
        <f>IF($B31=0,"",SUMIFS(INPUT_DATA!M:M,INPUT_DATA!$A:$A,$B31,INPUT_DATA!$C:$C,"D"))</f>
        <v/>
      </c>
      <c r="BL31" s="311" t="str">
        <f>IF($B31=0,"",SUMIFS(INPUT_DATA!N:N,INPUT_DATA!$A:$A,$B31,INPUT_DATA!$C:$C,"D"))</f>
        <v/>
      </c>
      <c r="BM31" s="311" t="str">
        <f>IF($B31=0,"",SUMIFS(INPUT_DATA!O:O,INPUT_DATA!$A:$A,$B31,INPUT_DATA!$C:$C,"D"))</f>
        <v/>
      </c>
      <c r="BN31" s="741" t="str">
        <f t="shared" si="18"/>
        <v/>
      </c>
      <c r="BO31" s="741" t="str">
        <f>IF($B31=0,"",SUMIFS(INPUT_DATA!O:O,INPUT_DATA!$A:$A,$B31,INPUT_DATA!$C:$C,"D"))</f>
        <v/>
      </c>
      <c r="BP31" s="741" t="str">
        <f t="shared" si="19"/>
        <v/>
      </c>
      <c r="BQ31" s="725" t="str">
        <f>IF($B31=0,"",SUMIFS(INPUT_DATA!Q:Q,INPUT_DATA!$A:$A,$B31,INPUT_DATA!$C:$C,"D"))</f>
        <v/>
      </c>
      <c r="BR31" s="747" t="str">
        <f>IF($B31=0,"",SUMIFS(INPUT_DATA!R:R,INPUT_DATA!$A:$A,$B31,INPUT_DATA!$C:$C,"D"))</f>
        <v/>
      </c>
      <c r="BS31" s="747" t="str">
        <f>IF($B31=0,"",SUMIFS(INPUT_DATA!S:S,INPUT_DATA!$A:$A,$B31,INPUT_DATA!$C:$C,"D"))</f>
        <v/>
      </c>
      <c r="BT31" s="311" t="str">
        <f>IF($B31=0,"",SUMIFS(INPUT_DATA!T:T,INPUT_DATA!$A:$A,$B31,INPUT_DATA!$C:$C,"D"))</f>
        <v/>
      </c>
      <c r="BU31" s="311" t="str">
        <f>IF($B31=0,"",SUMIFS(INPUT_DATA!U:U,INPUT_DATA!$A:$A,$B31,INPUT_DATA!$C:$C,"D"))</f>
        <v/>
      </c>
      <c r="BV31" s="311" t="str">
        <f>IF($B31=0,"",SUMIFS(INPUT_DATA!V:V,INPUT_DATA!$A:$A,$B31,INPUT_DATA!$C:$C,"D"))</f>
        <v/>
      </c>
      <c r="BW31" s="311" t="str">
        <f>IF($B31=0,"",SUMIFS(INPUT_DATA!W:W,INPUT_DATA!$A:$A,$B31,INPUT_DATA!$C:$C,"D"))</f>
        <v/>
      </c>
      <c r="BX31" s="311" t="str">
        <f>IF($B31=0,"",SUMIFS(INPUT_DATA!X:X,INPUT_DATA!$A:$A,$B31,INPUT_DATA!$C:$C,"D"))</f>
        <v/>
      </c>
      <c r="BY31" s="311" t="str">
        <f>IF($B31=0,"",SUMIFS(INPUT_DATA!Y:Y,INPUT_DATA!$A:$A,$B31,INPUT_DATA!$C:$C,"D"))</f>
        <v/>
      </c>
      <c r="BZ31" s="352" t="str">
        <f>IF($B31=0,"",SUMIFS(INPUT_DATA!Z:Z,INPUT_DATA!$A:$A,$B31,INPUT_DATA!$C:$C,"D"))</f>
        <v/>
      </c>
      <c r="CA31" s="352" t="str">
        <f>IF($B31=0,"",SUMIFS(INPUT_DATA!AA:AA,INPUT_DATA!$A:$A,$B31,INPUT_DATA!$C:$C,"D"))</f>
        <v/>
      </c>
      <c r="CB31" s="352" t="str">
        <f>IF($B31=0,"",SUMIFS(INPUT_DATA!AB:AB,INPUT_DATA!$A:$A,$B31,INPUT_DATA!$C:$C,"D"))</f>
        <v/>
      </c>
      <c r="CC31" s="311" t="str">
        <f>IF($B31=0,"",SUMIFS(INPUT_DATA!AC:AC,INPUT_DATA!$A:$A,$B31,INPUT_DATA!$C:$C,"D"))</f>
        <v/>
      </c>
      <c r="CD31" s="311" t="str">
        <f>IF($B31=0,"",SUMIFS(INPUT_DATA!AD:AD,INPUT_DATA!$A:$A,$B31,INPUT_DATA!$C:$C,"D"))</f>
        <v/>
      </c>
      <c r="CE31" s="311" t="str">
        <f>IF($B31=0,"",SUMIFS(INPUT_DATA!AE:AE,INPUT_DATA!$A:$A,$B31,INPUT_DATA!$C:$C,"D"))</f>
        <v/>
      </c>
      <c r="CF31" s="352" t="str">
        <f>IF($B31=0,"",SUMIFS(INPUT_DATA!AF:AF,INPUT_DATA!$A:$A,$B31,INPUT_DATA!$C:$C,"D"))</f>
        <v/>
      </c>
      <c r="CG31" s="352" t="str">
        <f>IF($B31=0,"",SUMIFS(INPUT_DATA!AG:AG,INPUT_DATA!$A:$A,$B31,INPUT_DATA!$C:$C,"D"))</f>
        <v/>
      </c>
      <c r="CH31" s="352" t="str">
        <f>IF($B31=0,"",SUMIFS(INPUT_DATA!AH:AH,INPUT_DATA!$A:$A,$B31,INPUT_DATA!$C:$C,"D"))</f>
        <v/>
      </c>
      <c r="CI31" s="153" t="str">
        <f>IF($B31=0,"",SUMIFS(INPUT_DATA!AI:AI,INPUT_DATA!$A:$A,$B31,INPUT_DATA!$C:$C,"D"))</f>
        <v/>
      </c>
      <c r="CJ31" s="153" t="str">
        <f>IF($B31=0,"",SUMIFS(INPUT_DATA!AJ:AJ,INPUT_DATA!$A:$A,$B31,INPUT_DATA!$C:$C,"D"))</f>
        <v/>
      </c>
      <c r="CK31" s="153" t="str">
        <f>IF($B31=0,"",SUMIFS(INPUT_DATA!AK:AK,INPUT_DATA!$A:$A,$B31,INPUT_DATA!$C:$C,"D"))</f>
        <v/>
      </c>
      <c r="CL31" s="153" t="str">
        <f>IF($B31=0,"",SUMIFS(INPUT_DATA!AL:AL,INPUT_DATA!$A:$A,$B31,INPUT_DATA!$C:$C,"D"))</f>
        <v/>
      </c>
      <c r="CM31" s="153" t="str">
        <f>IF($B31=0,"",SUMIFS(INPUT_DATA!AM:AM,INPUT_DATA!$A:$A,$B31,INPUT_DATA!$C:$C,"D"))</f>
        <v/>
      </c>
      <c r="CN31" s="153" t="str">
        <f>IF($B31=0,"",SUMIFS(INPUT_DATA!AN:AN,INPUT_DATA!$A:$A,$B31,INPUT_DATA!$C:$C,"D"))</f>
        <v/>
      </c>
      <c r="CO31" s="153" t="str">
        <f>IF($B31=0,"",SUMIFS(INPUT_DATA!AO:AO,INPUT_DATA!$A:$A,$B31,INPUT_DATA!$C:$C,"D"))</f>
        <v/>
      </c>
      <c r="CP31" s="153" t="str">
        <f>IF($B31=0,"",SUMIFS(INPUT_DATA!AP:AP,INPUT_DATA!$A:$A,$B31,INPUT_DATA!$C:$C,"D"))</f>
        <v/>
      </c>
      <c r="CQ31" s="153" t="str">
        <f>IF($B31=0,"",SUMIFS(INPUT_DATA!AQ:AQ,INPUT_DATA!$A:$A,$B31,INPUT_DATA!$C:$C,"D"))</f>
        <v/>
      </c>
      <c r="CR31" s="737" t="str">
        <f t="shared" si="32"/>
        <v/>
      </c>
      <c r="CS31" s="737" t="str">
        <f t="shared" si="33"/>
        <v/>
      </c>
      <c r="CT31" s="737" t="str">
        <f t="shared" si="34"/>
        <v/>
      </c>
      <c r="CU31" s="726" t="str">
        <f>IF($B31=0,"",SUMIFS(INPUT_DATA!AR:AR,INPUT_DATA!$A:$A,$B31,INPUT_DATA!$C:$C,"D"))</f>
        <v/>
      </c>
      <c r="CV31" s="726" t="str">
        <f>IF($B31=0,"",SUMIFS(INPUT_DATA!AS:AS,INPUT_DATA!$A:$A,$B31,INPUT_DATA!$C:$C,"D"))</f>
        <v/>
      </c>
      <c r="CW31" s="726" t="str">
        <f>IF($B31=0,"",SUMIFS(INPUT_DATA!AT:AT,INPUT_DATA!$A:$A,$B31,INPUT_DATA!$C:$C,"D"))</f>
        <v/>
      </c>
      <c r="CX31" s="726" t="str">
        <f t="shared" si="35"/>
        <v/>
      </c>
      <c r="CY31" s="737" t="str">
        <f t="shared" si="36"/>
        <v/>
      </c>
      <c r="CZ31" s="748" t="str">
        <f t="shared" si="37"/>
        <v/>
      </c>
      <c r="DA31" s="150"/>
    </row>
    <row r="32" spans="2:105" x14ac:dyDescent="0.2">
      <c r="B32" s="720">
        <f>INPUT_DATA!BQ19</f>
        <v>0</v>
      </c>
      <c r="C32" s="725" t="str">
        <f>IF($B32=0,"",SUMIFS(INPUT_DATA!D:D,INPUT_DATA!$A:$A,$B32,INPUT_DATA!$C:$C,"S"))</f>
        <v/>
      </c>
      <c r="D32" s="726" t="str">
        <f>IF($B32=0,"",SUMIFS(INPUT_DATA!E:E,INPUT_DATA!$A:$A,$B32,INPUT_DATA!$C:$C,"S"))</f>
        <v/>
      </c>
      <c r="E32" s="727" t="str">
        <f>IF($B32=0,"",SUMIFS(INPUT_DATA!F:F,INPUT_DATA!$A:$A,$B32,INPUT_DATA!$C:$C,"S"))</f>
        <v/>
      </c>
      <c r="F32" s="727" t="str">
        <f>IF($B32=0,"",SUMIFS(INPUT_DATA!G:G,INPUT_DATA!$A:$A,$B32,INPUT_DATA!$C:$C,"S"))</f>
        <v/>
      </c>
      <c r="G32" s="727" t="str">
        <f>IF($B32=0,"",SUMIFS(INPUT_DATA!H:H,INPUT_DATA!$A:$A,$B32,INPUT_DATA!$C:$C,"S"))</f>
        <v/>
      </c>
      <c r="H32" s="727" t="str">
        <f>IF($B32=0,"",SUMIFS(INPUT_DATA!I:I,INPUT_DATA!$A:$A,$B32,INPUT_DATA!$C:$C,"S"))</f>
        <v/>
      </c>
      <c r="I32" s="727" t="str">
        <f>IF($B32=0,"",SUMIFS(INPUT_DATA!J:J,INPUT_DATA!$A:$A,$B32,INPUT_DATA!$C:$C,"S"))</f>
        <v/>
      </c>
      <c r="J32" s="727" t="str">
        <f>IF($B32=0,"",SUMIFS(INPUT_DATA!K:K,INPUT_DATA!$A:$A,$B32,INPUT_DATA!$C:$C,"S"))</f>
        <v/>
      </c>
      <c r="K32" s="727" t="str">
        <f>IF($B32=0,"",SUMIFS(INPUT_DATA!L:L,INPUT_DATA!$A:$A,$B32,INPUT_DATA!$C:$C,"S"))</f>
        <v/>
      </c>
      <c r="L32" s="727" t="str">
        <f>IF($B32=0,"",SUMIFS(INPUT_DATA!M:M,INPUT_DATA!$A:$A,$B32,INPUT_DATA!$C:$C,"S"))</f>
        <v/>
      </c>
      <c r="M32" s="727" t="str">
        <f>IF($B32=0,"",SUMIFS(INPUT_DATA!N:N,INPUT_DATA!$A:$A,$B32,INPUT_DATA!$C:$C,"S"))</f>
        <v/>
      </c>
      <c r="N32" s="727" t="str">
        <f>IF($B32=0,"",SUMIFS(INPUT_DATA!O:O,INPUT_DATA!$A:$A,$B32,INPUT_DATA!$C:$C,"S"))</f>
        <v/>
      </c>
      <c r="O32" s="728" t="str">
        <f t="shared" si="38"/>
        <v/>
      </c>
      <c r="P32" s="729" t="str">
        <f>IF($B32=0,"",SUMIFS(INPUT_DATA!P:P,INPUT_DATA!$A:$A,$B32,INPUT_DATA!$C:$C,"S"))</f>
        <v/>
      </c>
      <c r="Q32" s="729" t="str">
        <f t="shared" si="39"/>
        <v/>
      </c>
      <c r="R32" s="735" t="str">
        <f>IF($B32=0,"",SUMIFS(INPUT_DATA!Q:Q,INPUT_DATA!$A:$A,$B32,INPUT_DATA!$C:$C,"S"))</f>
        <v/>
      </c>
      <c r="S32" s="735" t="str">
        <f>IF($B32=0,"",SUMIFS(INPUT_DATA!R:R,INPUT_DATA!$A:$A,$B32,INPUT_DATA!$C:$C,"S"))</f>
        <v/>
      </c>
      <c r="T32" s="735" t="str">
        <f>IF($B32=0,"",SUMIFS(INPUT_DATA!S:S,INPUT_DATA!$A:$A,$B32,INPUT_DATA!$C:$C,"S"))</f>
        <v/>
      </c>
      <c r="U32" s="312" t="str">
        <f>IF($B32=0,"",SUMIFS(INPUT_DATA!T:T,INPUT_DATA!$A:$A,$B32,INPUT_DATA!$C:$C,"S"))</f>
        <v/>
      </c>
      <c r="V32" s="312" t="str">
        <f>IF($B32=0,"",SUMIFS(INPUT_DATA!U:U,INPUT_DATA!$A:$A,$B32,INPUT_DATA!$C:$C,"S"))</f>
        <v/>
      </c>
      <c r="W32" s="312" t="str">
        <f>IF($B32=0,"",SUMIFS(INPUT_DATA!V:V,INPUT_DATA!$A:$A,$B32,INPUT_DATA!$C:$C,"S"))</f>
        <v/>
      </c>
      <c r="X32" s="312" t="str">
        <f>IF($B32=0,"",SUMIFS(INPUT_DATA!W:W,INPUT_DATA!$A:$A,$B32,INPUT_DATA!$C:$C,"S"))</f>
        <v/>
      </c>
      <c r="Y32" s="312" t="str">
        <f>IF($B32=0,"",SUMIFS(INPUT_DATA!X:X,INPUT_DATA!$A:$A,$B32,INPUT_DATA!$C:$C,"S"))</f>
        <v/>
      </c>
      <c r="Z32" s="312" t="str">
        <f>IF($B32=0,"",SUMIFS(INPUT_DATA!Y:Y,INPUT_DATA!$A:$A,$B32,INPUT_DATA!$C:$C,"S"))</f>
        <v/>
      </c>
      <c r="AA32" s="312" t="str">
        <f>IF($B32=0,"",SUMIFS(INPUT_DATA!Z:Z,INPUT_DATA!$A:$A,$B32,INPUT_DATA!$C:$C,"S"))</f>
        <v/>
      </c>
      <c r="AB32" s="312" t="str">
        <f>IF($B32=0,"",SUMIFS(INPUT_DATA!AA:AA,INPUT_DATA!$A:$A,$B32,INPUT_DATA!$C:$C,"S"))</f>
        <v/>
      </c>
      <c r="AC32" s="312" t="str">
        <f>IF($B32=0,"",SUMIFS(INPUT_DATA!AB:AB,INPUT_DATA!$A:$A,$B32,INPUT_DATA!$C:$C,"S"))</f>
        <v/>
      </c>
      <c r="AD32" s="312" t="str">
        <f>IF($B32=0,"",SUMIFS(INPUT_DATA!AC:AC,INPUT_DATA!$A:$A,$B32,INPUT_DATA!$C:$C,"S"))</f>
        <v/>
      </c>
      <c r="AE32" s="312" t="str">
        <f>IF($B32=0,"",SUMIFS(INPUT_DATA!AD:AD,INPUT_DATA!$A:$A,$B32,INPUT_DATA!$C:$C,"S"))</f>
        <v/>
      </c>
      <c r="AF32" s="312" t="str">
        <f>IF($B32=0,"",SUMIFS(INPUT_DATA!AE:AE,INPUT_DATA!$A:$A,$B32,INPUT_DATA!$C:$C,"S"))</f>
        <v/>
      </c>
      <c r="AG32" s="312" t="str">
        <f>IF($B32=0,"",SUMIFS(INPUT_DATA!AF:AF,INPUT_DATA!$A:$A,$B32,INPUT_DATA!$C:$C,"S"))</f>
        <v/>
      </c>
      <c r="AH32" s="312" t="str">
        <f>IF($B32=0,"",SUMIFS(INPUT_DATA!AG:AG,INPUT_DATA!$A:$A,$B32,INPUT_DATA!$C:$C,"S"))</f>
        <v/>
      </c>
      <c r="AI32" s="312" t="str">
        <f>IF($B32=0,"",SUMIFS(INPUT_DATA!AH:AH,INPUT_DATA!$A:$A,$B32,INPUT_DATA!$C:$C,"S"))</f>
        <v/>
      </c>
      <c r="AJ32" s="312" t="str">
        <f>IF($B32=0,"",SUMIFS(INPUT_DATA!AI:AI,INPUT_DATA!$A:$A,$B32,INPUT_DATA!$C:$C,"S"))</f>
        <v/>
      </c>
      <c r="AK32" s="312" t="str">
        <f>IF($B32=0,"",SUMIFS(INPUT_DATA!AJ:AJ,INPUT_DATA!$A:$A,$B32,INPUT_DATA!$C:$C,"S"))</f>
        <v/>
      </c>
      <c r="AL32" s="312" t="str">
        <f>IF($B32=0,"",SUMIFS(INPUT_DATA!AK:AK,INPUT_DATA!$A:$A,$B32,INPUT_DATA!$C:$C,"S"))</f>
        <v/>
      </c>
      <c r="AM32" s="312" t="str">
        <f>IF($B32=0,"",SUMIFS(INPUT_DATA!AL:AL,INPUT_DATA!$A:$A,$B32,INPUT_DATA!$C:$C,"S"))</f>
        <v/>
      </c>
      <c r="AN32" s="312" t="str">
        <f>IF($B32=0,"",SUMIFS(INPUT_DATA!AM:AM,INPUT_DATA!$A:$A,$B32,INPUT_DATA!$C:$C,"S"))</f>
        <v/>
      </c>
      <c r="AO32" s="312" t="str">
        <f>IF($B32=0,"",SUMIFS(INPUT_DATA!AN:AN,INPUT_DATA!$A:$A,$B32,INPUT_DATA!$C:$C,"S"))</f>
        <v/>
      </c>
      <c r="AP32" s="312" t="str">
        <f>IF($B32=0,"",SUMIFS(INPUT_DATA!AO:AO,INPUT_DATA!$A:$A,$B32,INPUT_DATA!$C:$C,"S"))</f>
        <v/>
      </c>
      <c r="AQ32" s="312" t="str">
        <f>IF($B32=0,"",SUMIFS(INPUT_DATA!AP:AP,INPUT_DATA!$A:$A,$B32,INPUT_DATA!$C:$C,"S"))</f>
        <v/>
      </c>
      <c r="AR32" s="312" t="str">
        <f>IF($B32=0,"",SUMIFS(INPUT_DATA!AQ:AQ,INPUT_DATA!$A:$A,$B32,INPUT_DATA!$C:$C,"S"))</f>
        <v/>
      </c>
      <c r="AS32" s="736" t="str">
        <f t="shared" si="29"/>
        <v/>
      </c>
      <c r="AT32" s="737" t="str">
        <f t="shared" si="30"/>
        <v/>
      </c>
      <c r="AU32" s="738" t="str">
        <f t="shared" si="31"/>
        <v/>
      </c>
      <c r="AV32" s="736" t="str">
        <f>IF($B32=0,"",SUMIFS(INPUT_DATA!AR:AR,INPUT_DATA!$A:$A,$B32,INPUT_DATA!$C:$C,"S"))</f>
        <v/>
      </c>
      <c r="AW32" s="737" t="str">
        <f>IF($B32=0,"",SUMIFS(INPUT_DATA!AS:AS,INPUT_DATA!$A:$A,$B32,INPUT_DATA!$C:$C,"S"))</f>
        <v/>
      </c>
      <c r="AX32" s="738" t="str">
        <f>IF($B32=0,"",SUMIFS(INPUT_DATA!AT:AT,INPUT_DATA!$A:$A,$B32,INPUT_DATA!$C:$C,"S"))</f>
        <v/>
      </c>
      <c r="AY32" s="736" t="str">
        <f t="shared" si="15"/>
        <v/>
      </c>
      <c r="AZ32" s="737" t="str">
        <f t="shared" si="16"/>
        <v/>
      </c>
      <c r="BA32" s="738" t="str">
        <f t="shared" si="17"/>
        <v/>
      </c>
      <c r="BB32" s="150"/>
      <c r="BC32" s="725" t="str">
        <f>IF($B32=0,"",SUMIFS(INPUT_DATA!D:D,INPUT_DATA!$A:$A,$B32,INPUT_DATA!$C:$C,"D"))</f>
        <v/>
      </c>
      <c r="BD32" s="311" t="str">
        <f>IF($B32=0,"",SUMIFS(INPUT_DATA!F:F,INPUT_DATA!$A:$A,$B32,INPUT_DATA!$C:$C,"D"))</f>
        <v/>
      </c>
      <c r="BE32" s="311" t="str">
        <f>IF($B32=0,"",SUMIFS(INPUT_DATA!G:G,INPUT_DATA!$A:$A,$B32,INPUT_DATA!$C:$C,"D"))</f>
        <v/>
      </c>
      <c r="BF32" s="311" t="str">
        <f>IF($B32=0,"",SUMIFS(INPUT_DATA!H:H,INPUT_DATA!$A:$A,$B32,INPUT_DATA!$C:$C,"D"))</f>
        <v/>
      </c>
      <c r="BG32" s="311" t="str">
        <f>IF($B32=0,"",SUMIFS(INPUT_DATA!I:I,INPUT_DATA!$A:$A,$B32,INPUT_DATA!$C:$C,"D"))</f>
        <v/>
      </c>
      <c r="BH32" s="311" t="str">
        <f>IF($B32=0,"",SUMIFS(INPUT_DATA!J:J,INPUT_DATA!$A:$A,$B32,INPUT_DATA!$C:$C,"D"))</f>
        <v/>
      </c>
      <c r="BI32" s="311" t="str">
        <f>IF($B32=0,"",SUMIFS(INPUT_DATA!K:K,INPUT_DATA!$A:$A,$B32,INPUT_DATA!$C:$C,"D"))</f>
        <v/>
      </c>
      <c r="BJ32" s="311" t="str">
        <f>IF($B32=0,"",SUMIFS(INPUT_DATA!L:L,INPUT_DATA!$A:$A,$B32,INPUT_DATA!$C:$C,"D"))</f>
        <v/>
      </c>
      <c r="BK32" s="311" t="str">
        <f>IF($B32=0,"",SUMIFS(INPUT_DATA!M:M,INPUT_DATA!$A:$A,$B32,INPUT_DATA!$C:$C,"D"))</f>
        <v/>
      </c>
      <c r="BL32" s="311" t="str">
        <f>IF($B32=0,"",SUMIFS(INPUT_DATA!N:N,INPUT_DATA!$A:$A,$B32,INPUT_DATA!$C:$C,"D"))</f>
        <v/>
      </c>
      <c r="BM32" s="311" t="str">
        <f>IF($B32=0,"",SUMIFS(INPUT_DATA!O:O,INPUT_DATA!$A:$A,$B32,INPUT_DATA!$C:$C,"D"))</f>
        <v/>
      </c>
      <c r="BN32" s="741" t="str">
        <f t="shared" si="18"/>
        <v/>
      </c>
      <c r="BO32" s="741" t="str">
        <f>IF($B32=0,"",SUMIFS(INPUT_DATA!O:O,INPUT_DATA!$A:$A,$B32,INPUT_DATA!$C:$C,"D"))</f>
        <v/>
      </c>
      <c r="BP32" s="741" t="str">
        <f t="shared" si="19"/>
        <v/>
      </c>
      <c r="BQ32" s="725" t="str">
        <f>IF($B32=0,"",SUMIFS(INPUT_DATA!Q:Q,INPUT_DATA!$A:$A,$B32,INPUT_DATA!$C:$C,"D"))</f>
        <v/>
      </c>
      <c r="BR32" s="747" t="str">
        <f>IF($B32=0,"",SUMIFS(INPUT_DATA!R:R,INPUT_DATA!$A:$A,$B32,INPUT_DATA!$C:$C,"D"))</f>
        <v/>
      </c>
      <c r="BS32" s="747" t="str">
        <f>IF($B32=0,"",SUMIFS(INPUT_DATA!S:S,INPUT_DATA!$A:$A,$B32,INPUT_DATA!$C:$C,"D"))</f>
        <v/>
      </c>
      <c r="BT32" s="311" t="str">
        <f>IF($B32=0,"",SUMIFS(INPUT_DATA!T:T,INPUT_DATA!$A:$A,$B32,INPUT_DATA!$C:$C,"D"))</f>
        <v/>
      </c>
      <c r="BU32" s="311" t="str">
        <f>IF($B32=0,"",SUMIFS(INPUT_DATA!U:U,INPUT_DATA!$A:$A,$B32,INPUT_DATA!$C:$C,"D"))</f>
        <v/>
      </c>
      <c r="BV32" s="311" t="str">
        <f>IF($B32=0,"",SUMIFS(INPUT_DATA!V:V,INPUT_DATA!$A:$A,$B32,INPUT_DATA!$C:$C,"D"))</f>
        <v/>
      </c>
      <c r="BW32" s="311" t="str">
        <f>IF($B32=0,"",SUMIFS(INPUT_DATA!W:W,INPUT_DATA!$A:$A,$B32,INPUT_DATA!$C:$C,"D"))</f>
        <v/>
      </c>
      <c r="BX32" s="311" t="str">
        <f>IF($B32=0,"",SUMIFS(INPUT_DATA!X:X,INPUT_DATA!$A:$A,$B32,INPUT_DATA!$C:$C,"D"))</f>
        <v/>
      </c>
      <c r="BY32" s="311" t="str">
        <f>IF($B32=0,"",SUMIFS(INPUT_DATA!Y:Y,INPUT_DATA!$A:$A,$B32,INPUT_DATA!$C:$C,"D"))</f>
        <v/>
      </c>
      <c r="BZ32" s="352" t="str">
        <f>IF($B32=0,"",SUMIFS(INPUT_DATA!Z:Z,INPUT_DATA!$A:$A,$B32,INPUT_DATA!$C:$C,"D"))</f>
        <v/>
      </c>
      <c r="CA32" s="352" t="str">
        <f>IF($B32=0,"",SUMIFS(INPUT_DATA!AA:AA,INPUT_DATA!$A:$A,$B32,INPUT_DATA!$C:$C,"D"))</f>
        <v/>
      </c>
      <c r="CB32" s="352" t="str">
        <f>IF($B32=0,"",SUMIFS(INPUT_DATA!AB:AB,INPUT_DATA!$A:$A,$B32,INPUT_DATA!$C:$C,"D"))</f>
        <v/>
      </c>
      <c r="CC32" s="311" t="str">
        <f>IF($B32=0,"",SUMIFS(INPUT_DATA!AC:AC,INPUT_DATA!$A:$A,$B32,INPUT_DATA!$C:$C,"D"))</f>
        <v/>
      </c>
      <c r="CD32" s="311" t="str">
        <f>IF($B32=0,"",SUMIFS(INPUT_DATA!AD:AD,INPUT_DATA!$A:$A,$B32,INPUT_DATA!$C:$C,"D"))</f>
        <v/>
      </c>
      <c r="CE32" s="311" t="str">
        <f>IF($B32=0,"",SUMIFS(INPUT_DATA!AE:AE,INPUT_DATA!$A:$A,$B32,INPUT_DATA!$C:$C,"D"))</f>
        <v/>
      </c>
      <c r="CF32" s="352" t="str">
        <f>IF($B32=0,"",SUMIFS(INPUT_DATA!AF:AF,INPUT_DATA!$A:$A,$B32,INPUT_DATA!$C:$C,"D"))</f>
        <v/>
      </c>
      <c r="CG32" s="352" t="str">
        <f>IF($B32=0,"",SUMIFS(INPUT_DATA!AG:AG,INPUT_DATA!$A:$A,$B32,INPUT_DATA!$C:$C,"D"))</f>
        <v/>
      </c>
      <c r="CH32" s="352" t="str">
        <f>IF($B32=0,"",SUMIFS(INPUT_DATA!AH:AH,INPUT_DATA!$A:$A,$B32,INPUT_DATA!$C:$C,"D"))</f>
        <v/>
      </c>
      <c r="CI32" s="153" t="str">
        <f>IF($B32=0,"",SUMIFS(INPUT_DATA!AI:AI,INPUT_DATA!$A:$A,$B32,INPUT_DATA!$C:$C,"D"))</f>
        <v/>
      </c>
      <c r="CJ32" s="153" t="str">
        <f>IF($B32=0,"",SUMIFS(INPUT_DATA!AJ:AJ,INPUT_DATA!$A:$A,$B32,INPUT_DATA!$C:$C,"D"))</f>
        <v/>
      </c>
      <c r="CK32" s="153" t="str">
        <f>IF($B32=0,"",SUMIFS(INPUT_DATA!AK:AK,INPUT_DATA!$A:$A,$B32,INPUT_DATA!$C:$C,"D"))</f>
        <v/>
      </c>
      <c r="CL32" s="153" t="str">
        <f>IF($B32=0,"",SUMIFS(INPUT_DATA!AL:AL,INPUT_DATA!$A:$A,$B32,INPUT_DATA!$C:$C,"D"))</f>
        <v/>
      </c>
      <c r="CM32" s="153" t="str">
        <f>IF($B32=0,"",SUMIFS(INPUT_DATA!AM:AM,INPUT_DATA!$A:$A,$B32,INPUT_DATA!$C:$C,"D"))</f>
        <v/>
      </c>
      <c r="CN32" s="153" t="str">
        <f>IF($B32=0,"",SUMIFS(INPUT_DATA!AN:AN,INPUT_DATA!$A:$A,$B32,INPUT_DATA!$C:$C,"D"))</f>
        <v/>
      </c>
      <c r="CO32" s="153" t="str">
        <f>IF($B32=0,"",SUMIFS(INPUT_DATA!AO:AO,INPUT_DATA!$A:$A,$B32,INPUT_DATA!$C:$C,"D"))</f>
        <v/>
      </c>
      <c r="CP32" s="153" t="str">
        <f>IF($B32=0,"",SUMIFS(INPUT_DATA!AP:AP,INPUT_DATA!$A:$A,$B32,INPUT_DATA!$C:$C,"D"))</f>
        <v/>
      </c>
      <c r="CQ32" s="153" t="str">
        <f>IF($B32=0,"",SUMIFS(INPUT_DATA!AQ:AQ,INPUT_DATA!$A:$A,$B32,INPUT_DATA!$C:$C,"D"))</f>
        <v/>
      </c>
      <c r="CR32" s="737" t="str">
        <f t="shared" si="32"/>
        <v/>
      </c>
      <c r="CS32" s="737" t="str">
        <f t="shared" si="33"/>
        <v/>
      </c>
      <c r="CT32" s="737" t="str">
        <f t="shared" si="34"/>
        <v/>
      </c>
      <c r="CU32" s="726" t="str">
        <f>IF($B32=0,"",SUMIFS(INPUT_DATA!AR:AR,INPUT_DATA!$A:$A,$B32,INPUT_DATA!$C:$C,"D"))</f>
        <v/>
      </c>
      <c r="CV32" s="726" t="str">
        <f>IF($B32=0,"",SUMIFS(INPUT_DATA!AS:AS,INPUT_DATA!$A:$A,$B32,INPUT_DATA!$C:$C,"D"))</f>
        <v/>
      </c>
      <c r="CW32" s="726" t="str">
        <f>IF($B32=0,"",SUMIFS(INPUT_DATA!AT:AT,INPUT_DATA!$A:$A,$B32,INPUT_DATA!$C:$C,"D"))</f>
        <v/>
      </c>
      <c r="CX32" s="726" t="str">
        <f t="shared" si="35"/>
        <v/>
      </c>
      <c r="CY32" s="737" t="str">
        <f t="shared" si="36"/>
        <v/>
      </c>
      <c r="CZ32" s="748" t="str">
        <f t="shared" si="37"/>
        <v/>
      </c>
      <c r="DA32" s="150"/>
    </row>
    <row r="33" spans="1:105" x14ac:dyDescent="0.2">
      <c r="B33" s="720">
        <f>INPUT_DATA!BQ20</f>
        <v>0</v>
      </c>
      <c r="C33" s="725" t="str">
        <f>IF($B33=0,"",SUMIFS(INPUT_DATA!D:D,INPUT_DATA!$A:$A,$B33,INPUT_DATA!$C:$C,"S"))</f>
        <v/>
      </c>
      <c r="D33" s="726" t="str">
        <f>IF($B33=0,"",SUMIFS(INPUT_DATA!E:E,INPUT_DATA!$A:$A,$B33,INPUT_DATA!$C:$C,"S"))</f>
        <v/>
      </c>
      <c r="E33" s="727" t="str">
        <f>IF($B33=0,"",SUMIFS(INPUT_DATA!F:F,INPUT_DATA!$A:$A,$B33,INPUT_DATA!$C:$C,"S"))</f>
        <v/>
      </c>
      <c r="F33" s="727" t="str">
        <f>IF($B33=0,"",SUMIFS(INPUT_DATA!G:G,INPUT_DATA!$A:$A,$B33,INPUT_DATA!$C:$C,"S"))</f>
        <v/>
      </c>
      <c r="G33" s="727" t="str">
        <f>IF($B33=0,"",SUMIFS(INPUT_DATA!H:H,INPUT_DATA!$A:$A,$B33,INPUT_DATA!$C:$C,"S"))</f>
        <v/>
      </c>
      <c r="H33" s="727" t="str">
        <f>IF($B33=0,"",SUMIFS(INPUT_DATA!I:I,INPUT_DATA!$A:$A,$B33,INPUT_DATA!$C:$C,"S"))</f>
        <v/>
      </c>
      <c r="I33" s="727" t="str">
        <f>IF($B33=0,"",SUMIFS(INPUT_DATA!J:J,INPUT_DATA!$A:$A,$B33,INPUT_DATA!$C:$C,"S"))</f>
        <v/>
      </c>
      <c r="J33" s="727" t="str">
        <f>IF($B33=0,"",SUMIFS(INPUT_DATA!K:K,INPUT_DATA!$A:$A,$B33,INPUT_DATA!$C:$C,"S"))</f>
        <v/>
      </c>
      <c r="K33" s="727" t="str">
        <f>IF($B33=0,"",SUMIFS(INPUT_DATA!L:L,INPUT_DATA!$A:$A,$B33,INPUT_DATA!$C:$C,"S"))</f>
        <v/>
      </c>
      <c r="L33" s="727" t="str">
        <f>IF($B33=0,"",SUMIFS(INPUT_DATA!M:M,INPUT_DATA!$A:$A,$B33,INPUT_DATA!$C:$C,"S"))</f>
        <v/>
      </c>
      <c r="M33" s="727" t="str">
        <f>IF($B33=0,"",SUMIFS(INPUT_DATA!N:N,INPUT_DATA!$A:$A,$B33,INPUT_DATA!$C:$C,"S"))</f>
        <v/>
      </c>
      <c r="N33" s="727" t="str">
        <f>IF($B33=0,"",SUMIFS(INPUT_DATA!O:O,INPUT_DATA!$A:$A,$B33,INPUT_DATA!$C:$C,"S"))</f>
        <v/>
      </c>
      <c r="O33" s="728" t="str">
        <f t="shared" si="38"/>
        <v/>
      </c>
      <c r="P33" s="729" t="str">
        <f>IF($B33=0,"",SUMIFS(INPUT_DATA!P:P,INPUT_DATA!$A:$A,$B33,INPUT_DATA!$C:$C,"S"))</f>
        <v/>
      </c>
      <c r="Q33" s="729" t="str">
        <f t="shared" si="39"/>
        <v/>
      </c>
      <c r="R33" s="735" t="str">
        <f>IF($B33=0,"",SUMIFS(INPUT_DATA!Q:Q,INPUT_DATA!$A:$A,$B33,INPUT_DATA!$C:$C,"S"))</f>
        <v/>
      </c>
      <c r="S33" s="735" t="str">
        <f>IF($B33=0,"",SUMIFS(INPUT_DATA!R:R,INPUT_DATA!$A:$A,$B33,INPUT_DATA!$C:$C,"S"))</f>
        <v/>
      </c>
      <c r="T33" s="735" t="str">
        <f>IF($B33=0,"",SUMIFS(INPUT_DATA!S:S,INPUT_DATA!$A:$A,$B33,INPUT_DATA!$C:$C,"S"))</f>
        <v/>
      </c>
      <c r="U33" s="312" t="str">
        <f>IF($B33=0,"",SUMIFS(INPUT_DATA!T:T,INPUT_DATA!$A:$A,$B33,INPUT_DATA!$C:$C,"S"))</f>
        <v/>
      </c>
      <c r="V33" s="312" t="str">
        <f>IF($B33=0,"",SUMIFS(INPUT_DATA!U:U,INPUT_DATA!$A:$A,$B33,INPUT_DATA!$C:$C,"S"))</f>
        <v/>
      </c>
      <c r="W33" s="312" t="str">
        <f>IF($B33=0,"",SUMIFS(INPUT_DATA!V:V,INPUT_DATA!$A:$A,$B33,INPUT_DATA!$C:$C,"S"))</f>
        <v/>
      </c>
      <c r="X33" s="312" t="str">
        <f>IF($B33=0,"",SUMIFS(INPUT_DATA!W:W,INPUT_DATA!$A:$A,$B33,INPUT_DATA!$C:$C,"S"))</f>
        <v/>
      </c>
      <c r="Y33" s="312" t="str">
        <f>IF($B33=0,"",SUMIFS(INPUT_DATA!X:X,INPUT_DATA!$A:$A,$B33,INPUT_DATA!$C:$C,"S"))</f>
        <v/>
      </c>
      <c r="Z33" s="312" t="str">
        <f>IF($B33=0,"",SUMIFS(INPUT_DATA!Y:Y,INPUT_DATA!$A:$A,$B33,INPUT_DATA!$C:$C,"S"))</f>
        <v/>
      </c>
      <c r="AA33" s="312" t="str">
        <f>IF($B33=0,"",SUMIFS(INPUT_DATA!Z:Z,INPUT_DATA!$A:$A,$B33,INPUT_DATA!$C:$C,"S"))</f>
        <v/>
      </c>
      <c r="AB33" s="312" t="str">
        <f>IF($B33=0,"",SUMIFS(INPUT_DATA!AA:AA,INPUT_DATA!$A:$A,$B33,INPUT_DATA!$C:$C,"S"))</f>
        <v/>
      </c>
      <c r="AC33" s="312" t="str">
        <f>IF($B33=0,"",SUMIFS(INPUT_DATA!AB:AB,INPUT_DATA!$A:$A,$B33,INPUT_DATA!$C:$C,"S"))</f>
        <v/>
      </c>
      <c r="AD33" s="312" t="str">
        <f>IF($B33=0,"",SUMIFS(INPUT_DATA!AC:AC,INPUT_DATA!$A:$A,$B33,INPUT_DATA!$C:$C,"S"))</f>
        <v/>
      </c>
      <c r="AE33" s="312" t="str">
        <f>IF($B33=0,"",SUMIFS(INPUT_DATA!AD:AD,INPUT_DATA!$A:$A,$B33,INPUT_DATA!$C:$C,"S"))</f>
        <v/>
      </c>
      <c r="AF33" s="312" t="str">
        <f>IF($B33=0,"",SUMIFS(INPUT_DATA!AE:AE,INPUT_DATA!$A:$A,$B33,INPUT_DATA!$C:$C,"S"))</f>
        <v/>
      </c>
      <c r="AG33" s="312" t="str">
        <f>IF($B33=0,"",SUMIFS(INPUT_DATA!AF:AF,INPUT_DATA!$A:$A,$B33,INPUT_DATA!$C:$C,"S"))</f>
        <v/>
      </c>
      <c r="AH33" s="312" t="str">
        <f>IF($B33=0,"",SUMIFS(INPUT_DATA!AG:AG,INPUT_DATA!$A:$A,$B33,INPUT_DATA!$C:$C,"S"))</f>
        <v/>
      </c>
      <c r="AI33" s="312" t="str">
        <f>IF($B33=0,"",SUMIFS(INPUT_DATA!AH:AH,INPUT_DATA!$A:$A,$B33,INPUT_DATA!$C:$C,"S"))</f>
        <v/>
      </c>
      <c r="AJ33" s="312" t="str">
        <f>IF($B33=0,"",SUMIFS(INPUT_DATA!AI:AI,INPUT_DATA!$A:$A,$B33,INPUT_DATA!$C:$C,"S"))</f>
        <v/>
      </c>
      <c r="AK33" s="312" t="str">
        <f>IF($B33=0,"",SUMIFS(INPUT_DATA!AJ:AJ,INPUT_DATA!$A:$A,$B33,INPUT_DATA!$C:$C,"S"))</f>
        <v/>
      </c>
      <c r="AL33" s="312" t="str">
        <f>IF($B33=0,"",SUMIFS(INPUT_DATA!AK:AK,INPUT_DATA!$A:$A,$B33,INPUT_DATA!$C:$C,"S"))</f>
        <v/>
      </c>
      <c r="AM33" s="312" t="str">
        <f>IF($B33=0,"",SUMIFS(INPUT_DATA!AL:AL,INPUT_DATA!$A:$A,$B33,INPUT_DATA!$C:$C,"S"))</f>
        <v/>
      </c>
      <c r="AN33" s="312" t="str">
        <f>IF($B33=0,"",SUMIFS(INPUT_DATA!AM:AM,INPUT_DATA!$A:$A,$B33,INPUT_DATA!$C:$C,"S"))</f>
        <v/>
      </c>
      <c r="AO33" s="312" t="str">
        <f>IF($B33=0,"",SUMIFS(INPUT_DATA!AN:AN,INPUT_DATA!$A:$A,$B33,INPUT_DATA!$C:$C,"S"))</f>
        <v/>
      </c>
      <c r="AP33" s="312" t="str">
        <f>IF($B33=0,"",SUMIFS(INPUT_DATA!AO:AO,INPUT_DATA!$A:$A,$B33,INPUT_DATA!$C:$C,"S"))</f>
        <v/>
      </c>
      <c r="AQ33" s="312" t="str">
        <f>IF($B33=0,"",SUMIFS(INPUT_DATA!AP:AP,INPUT_DATA!$A:$A,$B33,INPUT_DATA!$C:$C,"S"))</f>
        <v/>
      </c>
      <c r="AR33" s="312" t="str">
        <f>IF($B33=0,"",SUMIFS(INPUT_DATA!AQ:AQ,INPUT_DATA!$A:$A,$B33,INPUT_DATA!$C:$C,"S"))</f>
        <v/>
      </c>
      <c r="AS33" s="736" t="str">
        <f t="shared" si="29"/>
        <v/>
      </c>
      <c r="AT33" s="737" t="str">
        <f t="shared" si="30"/>
        <v/>
      </c>
      <c r="AU33" s="738" t="str">
        <f t="shared" si="31"/>
        <v/>
      </c>
      <c r="AV33" s="736" t="str">
        <f>IF($B33=0,"",SUMIFS(INPUT_DATA!AR:AR,INPUT_DATA!$A:$A,$B33,INPUT_DATA!$C:$C,"S"))</f>
        <v/>
      </c>
      <c r="AW33" s="737" t="str">
        <f>IF($B33=0,"",SUMIFS(INPUT_DATA!AS:AS,INPUT_DATA!$A:$A,$B33,INPUT_DATA!$C:$C,"S"))</f>
        <v/>
      </c>
      <c r="AX33" s="738" t="str">
        <f>IF($B33=0,"",SUMIFS(INPUT_DATA!AT:AT,INPUT_DATA!$A:$A,$B33,INPUT_DATA!$C:$C,"S"))</f>
        <v/>
      </c>
      <c r="AY33" s="736" t="str">
        <f t="shared" si="15"/>
        <v/>
      </c>
      <c r="AZ33" s="737" t="str">
        <f t="shared" si="16"/>
        <v/>
      </c>
      <c r="BA33" s="738" t="str">
        <f t="shared" si="17"/>
        <v/>
      </c>
      <c r="BB33" s="150"/>
      <c r="BC33" s="725" t="str">
        <f>IF($B33=0,"",SUMIFS(INPUT_DATA!D:D,INPUT_DATA!$A:$A,$B33,INPUT_DATA!$C:$C,"D"))</f>
        <v/>
      </c>
      <c r="BD33" s="311" t="str">
        <f>IF($B33=0,"",SUMIFS(INPUT_DATA!F:F,INPUT_DATA!$A:$A,$B33,INPUT_DATA!$C:$C,"D"))</f>
        <v/>
      </c>
      <c r="BE33" s="311" t="str">
        <f>IF($B33=0,"",SUMIFS(INPUT_DATA!G:G,INPUT_DATA!$A:$A,$B33,INPUT_DATA!$C:$C,"D"))</f>
        <v/>
      </c>
      <c r="BF33" s="311" t="str">
        <f>IF($B33=0,"",SUMIFS(INPUT_DATA!H:H,INPUT_DATA!$A:$A,$B33,INPUT_DATA!$C:$C,"D"))</f>
        <v/>
      </c>
      <c r="BG33" s="311" t="str">
        <f>IF($B33=0,"",SUMIFS(INPUT_DATA!I:I,INPUT_DATA!$A:$A,$B33,INPUT_DATA!$C:$C,"D"))</f>
        <v/>
      </c>
      <c r="BH33" s="311" t="str">
        <f>IF($B33=0,"",SUMIFS(INPUT_DATA!J:J,INPUT_DATA!$A:$A,$B33,INPUT_DATA!$C:$C,"D"))</f>
        <v/>
      </c>
      <c r="BI33" s="311" t="str">
        <f>IF($B33=0,"",SUMIFS(INPUT_DATA!K:K,INPUT_DATA!$A:$A,$B33,INPUT_DATA!$C:$C,"D"))</f>
        <v/>
      </c>
      <c r="BJ33" s="311" t="str">
        <f>IF($B33=0,"",SUMIFS(INPUT_DATA!L:L,INPUT_DATA!$A:$A,$B33,INPUT_DATA!$C:$C,"D"))</f>
        <v/>
      </c>
      <c r="BK33" s="311" t="str">
        <f>IF($B33=0,"",SUMIFS(INPUT_DATA!M:M,INPUT_DATA!$A:$A,$B33,INPUT_DATA!$C:$C,"D"))</f>
        <v/>
      </c>
      <c r="BL33" s="311" t="str">
        <f>IF($B33=0,"",SUMIFS(INPUT_DATA!N:N,INPUT_DATA!$A:$A,$B33,INPUT_DATA!$C:$C,"D"))</f>
        <v/>
      </c>
      <c r="BM33" s="311" t="str">
        <f>IF($B33=0,"",SUMIFS(INPUT_DATA!O:O,INPUT_DATA!$A:$A,$B33,INPUT_DATA!$C:$C,"D"))</f>
        <v/>
      </c>
      <c r="BN33" s="741" t="str">
        <f t="shared" si="18"/>
        <v/>
      </c>
      <c r="BO33" s="741" t="str">
        <f>IF($B33=0,"",SUMIFS(INPUT_DATA!O:O,INPUT_DATA!$A:$A,$B33,INPUT_DATA!$C:$C,"D"))</f>
        <v/>
      </c>
      <c r="BP33" s="741" t="str">
        <f t="shared" si="19"/>
        <v/>
      </c>
      <c r="BQ33" s="725" t="str">
        <f>IF($B33=0,"",SUMIFS(INPUT_DATA!Q:Q,INPUT_DATA!$A:$A,$B33,INPUT_DATA!$C:$C,"D"))</f>
        <v/>
      </c>
      <c r="BR33" s="747" t="str">
        <f>IF($B33=0,"",SUMIFS(INPUT_DATA!R:R,INPUT_DATA!$A:$A,$B33,INPUT_DATA!$C:$C,"D"))</f>
        <v/>
      </c>
      <c r="BS33" s="747" t="str">
        <f>IF($B33=0,"",SUMIFS(INPUT_DATA!S:S,INPUT_DATA!$A:$A,$B33,INPUT_DATA!$C:$C,"D"))</f>
        <v/>
      </c>
      <c r="BT33" s="311" t="str">
        <f>IF($B33=0,"",SUMIFS(INPUT_DATA!T:T,INPUT_DATA!$A:$A,$B33,INPUT_DATA!$C:$C,"D"))</f>
        <v/>
      </c>
      <c r="BU33" s="311" t="str">
        <f>IF($B33=0,"",SUMIFS(INPUT_DATA!U:U,INPUT_DATA!$A:$A,$B33,INPUT_DATA!$C:$C,"D"))</f>
        <v/>
      </c>
      <c r="BV33" s="311" t="str">
        <f>IF($B33=0,"",SUMIFS(INPUT_DATA!V:V,INPUT_DATA!$A:$A,$B33,INPUT_DATA!$C:$C,"D"))</f>
        <v/>
      </c>
      <c r="BW33" s="311" t="str">
        <f>IF($B33=0,"",SUMIFS(INPUT_DATA!W:W,INPUT_DATA!$A:$A,$B33,INPUT_DATA!$C:$C,"D"))</f>
        <v/>
      </c>
      <c r="BX33" s="311" t="str">
        <f>IF($B33=0,"",SUMIFS(INPUT_DATA!X:X,INPUT_DATA!$A:$A,$B33,INPUT_DATA!$C:$C,"D"))</f>
        <v/>
      </c>
      <c r="BY33" s="311" t="str">
        <f>IF($B33=0,"",SUMIFS(INPUT_DATA!Y:Y,INPUT_DATA!$A:$A,$B33,INPUT_DATA!$C:$C,"D"))</f>
        <v/>
      </c>
      <c r="BZ33" s="352" t="str">
        <f>IF($B33=0,"",SUMIFS(INPUT_DATA!Z:Z,INPUT_DATA!$A:$A,$B33,INPUT_DATA!$C:$C,"D"))</f>
        <v/>
      </c>
      <c r="CA33" s="352" t="str">
        <f>IF($B33=0,"",SUMIFS(INPUT_DATA!AA:AA,INPUT_DATA!$A:$A,$B33,INPUT_DATA!$C:$C,"D"))</f>
        <v/>
      </c>
      <c r="CB33" s="352" t="str">
        <f>IF($B33=0,"",SUMIFS(INPUT_DATA!AB:AB,INPUT_DATA!$A:$A,$B33,INPUT_DATA!$C:$C,"D"))</f>
        <v/>
      </c>
      <c r="CC33" s="311" t="str">
        <f>IF($B33=0,"",SUMIFS(INPUT_DATA!AC:AC,INPUT_DATA!$A:$A,$B33,INPUT_DATA!$C:$C,"D"))</f>
        <v/>
      </c>
      <c r="CD33" s="311" t="str">
        <f>IF($B33=0,"",SUMIFS(INPUT_DATA!AD:AD,INPUT_DATA!$A:$A,$B33,INPUT_DATA!$C:$C,"D"))</f>
        <v/>
      </c>
      <c r="CE33" s="311" t="str">
        <f>IF($B33=0,"",SUMIFS(INPUT_DATA!AE:AE,INPUT_DATA!$A:$A,$B33,INPUT_DATA!$C:$C,"D"))</f>
        <v/>
      </c>
      <c r="CF33" s="352" t="str">
        <f>IF($B33=0,"",SUMIFS(INPUT_DATA!AF:AF,INPUT_DATA!$A:$A,$B33,INPUT_DATA!$C:$C,"D"))</f>
        <v/>
      </c>
      <c r="CG33" s="352" t="str">
        <f>IF($B33=0,"",SUMIFS(INPUT_DATA!AG:AG,INPUT_DATA!$A:$A,$B33,INPUT_DATA!$C:$C,"D"))</f>
        <v/>
      </c>
      <c r="CH33" s="352" t="str">
        <f>IF($B33=0,"",SUMIFS(INPUT_DATA!AH:AH,INPUT_DATA!$A:$A,$B33,INPUT_DATA!$C:$C,"D"))</f>
        <v/>
      </c>
      <c r="CI33" s="153" t="str">
        <f>IF($B33=0,"",SUMIFS(INPUT_DATA!AI:AI,INPUT_DATA!$A:$A,$B33,INPUT_DATA!$C:$C,"D"))</f>
        <v/>
      </c>
      <c r="CJ33" s="153" t="str">
        <f>IF($B33=0,"",SUMIFS(INPUT_DATA!AJ:AJ,INPUT_DATA!$A:$A,$B33,INPUT_DATA!$C:$C,"D"))</f>
        <v/>
      </c>
      <c r="CK33" s="153" t="str">
        <f>IF($B33=0,"",SUMIFS(INPUT_DATA!AK:AK,INPUT_DATA!$A:$A,$B33,INPUT_DATA!$C:$C,"D"))</f>
        <v/>
      </c>
      <c r="CL33" s="153" t="str">
        <f>IF($B33=0,"",SUMIFS(INPUT_DATA!AL:AL,INPUT_DATA!$A:$A,$B33,INPUT_DATA!$C:$C,"D"))</f>
        <v/>
      </c>
      <c r="CM33" s="153" t="str">
        <f>IF($B33=0,"",SUMIFS(INPUT_DATA!AM:AM,INPUT_DATA!$A:$A,$B33,INPUT_DATA!$C:$C,"D"))</f>
        <v/>
      </c>
      <c r="CN33" s="153" t="str">
        <f>IF($B33=0,"",SUMIFS(INPUT_DATA!AN:AN,INPUT_DATA!$A:$A,$B33,INPUT_DATA!$C:$C,"D"))</f>
        <v/>
      </c>
      <c r="CO33" s="153" t="str">
        <f>IF($B33=0,"",SUMIFS(INPUT_DATA!AO:AO,INPUT_DATA!$A:$A,$B33,INPUT_DATA!$C:$C,"D"))</f>
        <v/>
      </c>
      <c r="CP33" s="153" t="str">
        <f>IF($B33=0,"",SUMIFS(INPUT_DATA!AP:AP,INPUT_DATA!$A:$A,$B33,INPUT_DATA!$C:$C,"D"))</f>
        <v/>
      </c>
      <c r="CQ33" s="153" t="str">
        <f>IF($B33=0,"",SUMIFS(INPUT_DATA!AQ:AQ,INPUT_DATA!$A:$A,$B33,INPUT_DATA!$C:$C,"D"))</f>
        <v/>
      </c>
      <c r="CR33" s="737" t="str">
        <f t="shared" si="32"/>
        <v/>
      </c>
      <c r="CS33" s="737" t="str">
        <f t="shared" si="33"/>
        <v/>
      </c>
      <c r="CT33" s="737" t="str">
        <f t="shared" si="34"/>
        <v/>
      </c>
      <c r="CU33" s="726" t="str">
        <f>IF($B33=0,"",SUMIFS(INPUT_DATA!AR:AR,INPUT_DATA!$A:$A,$B33,INPUT_DATA!$C:$C,"D"))</f>
        <v/>
      </c>
      <c r="CV33" s="726" t="str">
        <f>IF($B33=0,"",SUMIFS(INPUT_DATA!AS:AS,INPUT_DATA!$A:$A,$B33,INPUT_DATA!$C:$C,"D"))</f>
        <v/>
      </c>
      <c r="CW33" s="726" t="str">
        <f>IF($B33=0,"",SUMIFS(INPUT_DATA!AT:AT,INPUT_DATA!$A:$A,$B33,INPUT_DATA!$C:$C,"D"))</f>
        <v/>
      </c>
      <c r="CX33" s="726" t="str">
        <f t="shared" si="35"/>
        <v/>
      </c>
      <c r="CY33" s="737" t="str">
        <f t="shared" si="36"/>
        <v/>
      </c>
      <c r="CZ33" s="748" t="str">
        <f t="shared" si="37"/>
        <v/>
      </c>
      <c r="DA33" s="150"/>
    </row>
    <row r="34" spans="1:105" x14ac:dyDescent="0.2">
      <c r="B34" s="720">
        <f>INPUT_DATA!BQ21</f>
        <v>0</v>
      </c>
      <c r="C34" s="725" t="str">
        <f>IF($B34=0,"",SUMIFS(INPUT_DATA!D:D,INPUT_DATA!$A:$A,$B34,INPUT_DATA!$C:$C,"S"))</f>
        <v/>
      </c>
      <c r="D34" s="726" t="str">
        <f>IF($B34=0,"",SUMIFS(INPUT_DATA!E:E,INPUT_DATA!$A:$A,$B34,INPUT_DATA!$C:$C,"S"))</f>
        <v/>
      </c>
      <c r="E34" s="727" t="str">
        <f>IF($B34=0,"",SUMIFS(INPUT_DATA!F:F,INPUT_DATA!$A:$A,$B34,INPUT_DATA!$C:$C,"S"))</f>
        <v/>
      </c>
      <c r="F34" s="727" t="str">
        <f>IF($B34=0,"",SUMIFS(INPUT_DATA!G:G,INPUT_DATA!$A:$A,$B34,INPUT_DATA!$C:$C,"S"))</f>
        <v/>
      </c>
      <c r="G34" s="727" t="str">
        <f>IF($B34=0,"",SUMIFS(INPUT_DATA!H:H,INPUT_DATA!$A:$A,$B34,INPUT_DATA!$C:$C,"S"))</f>
        <v/>
      </c>
      <c r="H34" s="727" t="str">
        <f>IF($B34=0,"",SUMIFS(INPUT_DATA!I:I,INPUT_DATA!$A:$A,$B34,INPUT_DATA!$C:$C,"S"))</f>
        <v/>
      </c>
      <c r="I34" s="727" t="str">
        <f>IF($B34=0,"",SUMIFS(INPUT_DATA!J:J,INPUT_DATA!$A:$A,$B34,INPUT_DATA!$C:$C,"S"))</f>
        <v/>
      </c>
      <c r="J34" s="727" t="str">
        <f>IF($B34=0,"",SUMIFS(INPUT_DATA!K:K,INPUT_DATA!$A:$A,$B34,INPUT_DATA!$C:$C,"S"))</f>
        <v/>
      </c>
      <c r="K34" s="727" t="str">
        <f>IF($B34=0,"",SUMIFS(INPUT_DATA!L:L,INPUT_DATA!$A:$A,$B34,INPUT_DATA!$C:$C,"S"))</f>
        <v/>
      </c>
      <c r="L34" s="727" t="str">
        <f>IF($B34=0,"",SUMIFS(INPUT_DATA!M:M,INPUT_DATA!$A:$A,$B34,INPUT_DATA!$C:$C,"S"))</f>
        <v/>
      </c>
      <c r="M34" s="727" t="str">
        <f>IF($B34=0,"",SUMIFS(INPUT_DATA!N:N,INPUT_DATA!$A:$A,$B34,INPUT_DATA!$C:$C,"S"))</f>
        <v/>
      </c>
      <c r="N34" s="727" t="str">
        <f>IF($B34=0,"",SUMIFS(INPUT_DATA!O:O,INPUT_DATA!$A:$A,$B34,INPUT_DATA!$C:$C,"S"))</f>
        <v/>
      </c>
      <c r="O34" s="728" t="str">
        <f t="shared" si="38"/>
        <v/>
      </c>
      <c r="P34" s="729" t="str">
        <f>IF($B34=0,"",SUMIFS(INPUT_DATA!P:P,INPUT_DATA!$A:$A,$B34,INPUT_DATA!$C:$C,"S"))</f>
        <v/>
      </c>
      <c r="Q34" s="729" t="str">
        <f t="shared" si="39"/>
        <v/>
      </c>
      <c r="R34" s="735" t="str">
        <f>IF($B34=0,"",SUMIFS(INPUT_DATA!Q:Q,INPUT_DATA!$A:$A,$B34,INPUT_DATA!$C:$C,"S"))</f>
        <v/>
      </c>
      <c r="S34" s="735" t="str">
        <f>IF($B34=0,"",SUMIFS(INPUT_DATA!R:R,INPUT_DATA!$A:$A,$B34,INPUT_DATA!$C:$C,"S"))</f>
        <v/>
      </c>
      <c r="T34" s="735" t="str">
        <f>IF($B34=0,"",SUMIFS(INPUT_DATA!S:S,INPUT_DATA!$A:$A,$B34,INPUT_DATA!$C:$C,"S"))</f>
        <v/>
      </c>
      <c r="U34" s="312" t="str">
        <f>IF($B34=0,"",SUMIFS(INPUT_DATA!T:T,INPUT_DATA!$A:$A,$B34,INPUT_DATA!$C:$C,"S"))</f>
        <v/>
      </c>
      <c r="V34" s="312" t="str">
        <f>IF($B34=0,"",SUMIFS(INPUT_DATA!U:U,INPUT_DATA!$A:$A,$B34,INPUT_DATA!$C:$C,"S"))</f>
        <v/>
      </c>
      <c r="W34" s="312" t="str">
        <f>IF($B34=0,"",SUMIFS(INPUT_DATA!V:V,INPUT_DATA!$A:$A,$B34,INPUT_DATA!$C:$C,"S"))</f>
        <v/>
      </c>
      <c r="X34" s="312" t="str">
        <f>IF($B34=0,"",SUMIFS(INPUT_DATA!W:W,INPUT_DATA!$A:$A,$B34,INPUT_DATA!$C:$C,"S"))</f>
        <v/>
      </c>
      <c r="Y34" s="312" t="str">
        <f>IF($B34=0,"",SUMIFS(INPUT_DATA!X:X,INPUT_DATA!$A:$A,$B34,INPUT_DATA!$C:$C,"S"))</f>
        <v/>
      </c>
      <c r="Z34" s="312" t="str">
        <f>IF($B34=0,"",SUMIFS(INPUT_DATA!Y:Y,INPUT_DATA!$A:$A,$B34,INPUT_DATA!$C:$C,"S"))</f>
        <v/>
      </c>
      <c r="AA34" s="312" t="str">
        <f>IF($B34=0,"",SUMIFS(INPUT_DATA!Z:Z,INPUT_DATA!$A:$A,$B34,INPUT_DATA!$C:$C,"S"))</f>
        <v/>
      </c>
      <c r="AB34" s="312" t="str">
        <f>IF($B34=0,"",SUMIFS(INPUT_DATA!AA:AA,INPUT_DATA!$A:$A,$B34,INPUT_DATA!$C:$C,"S"))</f>
        <v/>
      </c>
      <c r="AC34" s="312" t="str">
        <f>IF($B34=0,"",SUMIFS(INPUT_DATA!AB:AB,INPUT_DATA!$A:$A,$B34,INPUT_DATA!$C:$C,"S"))</f>
        <v/>
      </c>
      <c r="AD34" s="312" t="str">
        <f>IF($B34=0,"",SUMIFS(INPUT_DATA!AC:AC,INPUT_DATA!$A:$A,$B34,INPUT_DATA!$C:$C,"S"))</f>
        <v/>
      </c>
      <c r="AE34" s="312" t="str">
        <f>IF($B34=0,"",SUMIFS(INPUT_DATA!AD:AD,INPUT_DATA!$A:$A,$B34,INPUT_DATA!$C:$C,"S"))</f>
        <v/>
      </c>
      <c r="AF34" s="312" t="str">
        <f>IF($B34=0,"",SUMIFS(INPUT_DATA!AE:AE,INPUT_DATA!$A:$A,$B34,INPUT_DATA!$C:$C,"S"))</f>
        <v/>
      </c>
      <c r="AG34" s="312" t="str">
        <f>IF($B34=0,"",SUMIFS(INPUT_DATA!AF:AF,INPUT_DATA!$A:$A,$B34,INPUT_DATA!$C:$C,"S"))</f>
        <v/>
      </c>
      <c r="AH34" s="312" t="str">
        <f>IF($B34=0,"",SUMIFS(INPUT_DATA!AG:AG,INPUT_DATA!$A:$A,$B34,INPUT_DATA!$C:$C,"S"))</f>
        <v/>
      </c>
      <c r="AI34" s="312" t="str">
        <f>IF($B34=0,"",SUMIFS(INPUT_DATA!AH:AH,INPUT_DATA!$A:$A,$B34,INPUT_DATA!$C:$C,"S"))</f>
        <v/>
      </c>
      <c r="AJ34" s="312" t="str">
        <f>IF($B34=0,"",SUMIFS(INPUT_DATA!AI:AI,INPUT_DATA!$A:$A,$B34,INPUT_DATA!$C:$C,"S"))</f>
        <v/>
      </c>
      <c r="AK34" s="312" t="str">
        <f>IF($B34=0,"",SUMIFS(INPUT_DATA!AJ:AJ,INPUT_DATA!$A:$A,$B34,INPUT_DATA!$C:$C,"S"))</f>
        <v/>
      </c>
      <c r="AL34" s="312" t="str">
        <f>IF($B34=0,"",SUMIFS(INPUT_DATA!AK:AK,INPUT_DATA!$A:$A,$B34,INPUT_DATA!$C:$C,"S"))</f>
        <v/>
      </c>
      <c r="AM34" s="312" t="str">
        <f>IF($B34=0,"",SUMIFS(INPUT_DATA!AL:AL,INPUT_DATA!$A:$A,$B34,INPUT_DATA!$C:$C,"S"))</f>
        <v/>
      </c>
      <c r="AN34" s="312" t="str">
        <f>IF($B34=0,"",SUMIFS(INPUT_DATA!AM:AM,INPUT_DATA!$A:$A,$B34,INPUT_DATA!$C:$C,"S"))</f>
        <v/>
      </c>
      <c r="AO34" s="312" t="str">
        <f>IF($B34=0,"",SUMIFS(INPUT_DATA!AN:AN,INPUT_DATA!$A:$A,$B34,INPUT_DATA!$C:$C,"S"))</f>
        <v/>
      </c>
      <c r="AP34" s="312" t="str">
        <f>IF($B34=0,"",SUMIFS(INPUT_DATA!AO:AO,INPUT_DATA!$A:$A,$B34,INPUT_DATA!$C:$C,"S"))</f>
        <v/>
      </c>
      <c r="AQ34" s="312" t="str">
        <f>IF($B34=0,"",SUMIFS(INPUT_DATA!AP:AP,INPUT_DATA!$A:$A,$B34,INPUT_DATA!$C:$C,"S"))</f>
        <v/>
      </c>
      <c r="AR34" s="312" t="str">
        <f>IF($B34=0,"",SUMIFS(INPUT_DATA!AQ:AQ,INPUT_DATA!$A:$A,$B34,INPUT_DATA!$C:$C,"S"))</f>
        <v/>
      </c>
      <c r="AS34" s="736" t="str">
        <f t="shared" si="29"/>
        <v/>
      </c>
      <c r="AT34" s="737" t="str">
        <f t="shared" si="30"/>
        <v/>
      </c>
      <c r="AU34" s="738" t="str">
        <f t="shared" si="31"/>
        <v/>
      </c>
      <c r="AV34" s="736" t="str">
        <f>IF($B34=0,"",SUMIFS(INPUT_DATA!AR:AR,INPUT_DATA!$A:$A,$B34,INPUT_DATA!$C:$C,"S"))</f>
        <v/>
      </c>
      <c r="AW34" s="737" t="str">
        <f>IF($B34=0,"",SUMIFS(INPUT_DATA!AS:AS,INPUT_DATA!$A:$A,$B34,INPUT_DATA!$C:$C,"S"))</f>
        <v/>
      </c>
      <c r="AX34" s="738" t="str">
        <f>IF($B34=0,"",SUMIFS(INPUT_DATA!AT:AT,INPUT_DATA!$A:$A,$B34,INPUT_DATA!$C:$C,"S"))</f>
        <v/>
      </c>
      <c r="AY34" s="736" t="str">
        <f t="shared" si="15"/>
        <v/>
      </c>
      <c r="AZ34" s="737" t="str">
        <f t="shared" si="16"/>
        <v/>
      </c>
      <c r="BA34" s="738" t="str">
        <f t="shared" si="17"/>
        <v/>
      </c>
      <c r="BB34" s="150"/>
      <c r="BC34" s="725" t="str">
        <f>IF($B34=0,"",SUMIFS(INPUT_DATA!D:D,INPUT_DATA!$A:$A,$B34,INPUT_DATA!$C:$C,"D"))</f>
        <v/>
      </c>
      <c r="BD34" s="311" t="str">
        <f>IF($B34=0,"",SUMIFS(INPUT_DATA!F:F,INPUT_DATA!$A:$A,$B34,INPUT_DATA!$C:$C,"D"))</f>
        <v/>
      </c>
      <c r="BE34" s="311" t="str">
        <f>IF($B34=0,"",SUMIFS(INPUT_DATA!G:G,INPUT_DATA!$A:$A,$B34,INPUT_DATA!$C:$C,"D"))</f>
        <v/>
      </c>
      <c r="BF34" s="311" t="str">
        <f>IF($B34=0,"",SUMIFS(INPUT_DATA!H:H,INPUT_DATA!$A:$A,$B34,INPUT_DATA!$C:$C,"D"))</f>
        <v/>
      </c>
      <c r="BG34" s="311" t="str">
        <f>IF($B34=0,"",SUMIFS(INPUT_DATA!I:I,INPUT_DATA!$A:$A,$B34,INPUT_DATA!$C:$C,"D"))</f>
        <v/>
      </c>
      <c r="BH34" s="311" t="str">
        <f>IF($B34=0,"",SUMIFS(INPUT_DATA!J:J,INPUT_DATA!$A:$A,$B34,INPUT_DATA!$C:$C,"D"))</f>
        <v/>
      </c>
      <c r="BI34" s="311" t="str">
        <f>IF($B34=0,"",SUMIFS(INPUT_DATA!K:K,INPUT_DATA!$A:$A,$B34,INPUT_DATA!$C:$C,"D"))</f>
        <v/>
      </c>
      <c r="BJ34" s="311" t="str">
        <f>IF($B34=0,"",SUMIFS(INPUT_DATA!L:L,INPUT_DATA!$A:$A,$B34,INPUT_DATA!$C:$C,"D"))</f>
        <v/>
      </c>
      <c r="BK34" s="311" t="str">
        <f>IF($B34=0,"",SUMIFS(INPUT_DATA!M:M,INPUT_DATA!$A:$A,$B34,INPUT_DATA!$C:$C,"D"))</f>
        <v/>
      </c>
      <c r="BL34" s="311" t="str">
        <f>IF($B34=0,"",SUMIFS(INPUT_DATA!N:N,INPUT_DATA!$A:$A,$B34,INPUT_DATA!$C:$C,"D"))</f>
        <v/>
      </c>
      <c r="BM34" s="311" t="str">
        <f>IF($B34=0,"",SUMIFS(INPUT_DATA!O:O,INPUT_DATA!$A:$A,$B34,INPUT_DATA!$C:$C,"D"))</f>
        <v/>
      </c>
      <c r="BN34" s="741" t="str">
        <f t="shared" si="18"/>
        <v/>
      </c>
      <c r="BO34" s="741" t="str">
        <f>IF($B34=0,"",SUMIFS(INPUT_DATA!O:O,INPUT_DATA!$A:$A,$B34,INPUT_DATA!$C:$C,"D"))</f>
        <v/>
      </c>
      <c r="BP34" s="741" t="str">
        <f t="shared" si="19"/>
        <v/>
      </c>
      <c r="BQ34" s="725" t="str">
        <f>IF($B34=0,"",SUMIFS(INPUT_DATA!Q:Q,INPUT_DATA!$A:$A,$B34,INPUT_DATA!$C:$C,"D"))</f>
        <v/>
      </c>
      <c r="BR34" s="747" t="str">
        <f>IF($B34=0,"",SUMIFS(INPUT_DATA!R:R,INPUT_DATA!$A:$A,$B34,INPUT_DATA!$C:$C,"D"))</f>
        <v/>
      </c>
      <c r="BS34" s="747" t="str">
        <f>IF($B34=0,"",SUMIFS(INPUT_DATA!S:S,INPUT_DATA!$A:$A,$B34,INPUT_DATA!$C:$C,"D"))</f>
        <v/>
      </c>
      <c r="BT34" s="311" t="str">
        <f>IF($B34=0,"",SUMIFS(INPUT_DATA!T:T,INPUT_DATA!$A:$A,$B34,INPUT_DATA!$C:$C,"D"))</f>
        <v/>
      </c>
      <c r="BU34" s="311" t="str">
        <f>IF($B34=0,"",SUMIFS(INPUT_DATA!U:U,INPUT_DATA!$A:$A,$B34,INPUT_DATA!$C:$C,"D"))</f>
        <v/>
      </c>
      <c r="BV34" s="311" t="str">
        <f>IF($B34=0,"",SUMIFS(INPUT_DATA!V:V,INPUT_DATA!$A:$A,$B34,INPUT_DATA!$C:$C,"D"))</f>
        <v/>
      </c>
      <c r="BW34" s="311" t="str">
        <f>IF($B34=0,"",SUMIFS(INPUT_DATA!W:W,INPUT_DATA!$A:$A,$B34,INPUT_DATA!$C:$C,"D"))</f>
        <v/>
      </c>
      <c r="BX34" s="311" t="str">
        <f>IF($B34=0,"",SUMIFS(INPUT_DATA!X:X,INPUT_DATA!$A:$A,$B34,INPUT_DATA!$C:$C,"D"))</f>
        <v/>
      </c>
      <c r="BY34" s="311" t="str">
        <f>IF($B34=0,"",SUMIFS(INPUT_DATA!Y:Y,INPUT_DATA!$A:$A,$B34,INPUT_DATA!$C:$C,"D"))</f>
        <v/>
      </c>
      <c r="BZ34" s="352" t="str">
        <f>IF($B34=0,"",SUMIFS(INPUT_DATA!Z:Z,INPUT_DATA!$A:$A,$B34,INPUT_DATA!$C:$C,"D"))</f>
        <v/>
      </c>
      <c r="CA34" s="352" t="str">
        <f>IF($B34=0,"",SUMIFS(INPUT_DATA!AA:AA,INPUT_DATA!$A:$A,$B34,INPUT_DATA!$C:$C,"D"))</f>
        <v/>
      </c>
      <c r="CB34" s="352" t="str">
        <f>IF($B34=0,"",SUMIFS(INPUT_DATA!AB:AB,INPUT_DATA!$A:$A,$B34,INPUT_DATA!$C:$C,"D"))</f>
        <v/>
      </c>
      <c r="CC34" s="311" t="str">
        <f>IF($B34=0,"",SUMIFS(INPUT_DATA!AC:AC,INPUT_DATA!$A:$A,$B34,INPUT_DATA!$C:$C,"D"))</f>
        <v/>
      </c>
      <c r="CD34" s="311" t="str">
        <f>IF($B34=0,"",SUMIFS(INPUT_DATA!AD:AD,INPUT_DATA!$A:$A,$B34,INPUT_DATA!$C:$C,"D"))</f>
        <v/>
      </c>
      <c r="CE34" s="311" t="str">
        <f>IF($B34=0,"",SUMIFS(INPUT_DATA!AE:AE,INPUT_DATA!$A:$A,$B34,INPUT_DATA!$C:$C,"D"))</f>
        <v/>
      </c>
      <c r="CF34" s="352" t="str">
        <f>IF($B34=0,"",SUMIFS(INPUT_DATA!AF:AF,INPUT_DATA!$A:$A,$B34,INPUT_DATA!$C:$C,"D"))</f>
        <v/>
      </c>
      <c r="CG34" s="352" t="str">
        <f>IF($B34=0,"",SUMIFS(INPUT_DATA!AG:AG,INPUT_DATA!$A:$A,$B34,INPUT_DATA!$C:$C,"D"))</f>
        <v/>
      </c>
      <c r="CH34" s="352" t="str">
        <f>IF($B34=0,"",SUMIFS(INPUT_DATA!AH:AH,INPUT_DATA!$A:$A,$B34,INPUT_DATA!$C:$C,"D"))</f>
        <v/>
      </c>
      <c r="CI34" s="153" t="str">
        <f>IF($B34=0,"",SUMIFS(INPUT_DATA!AI:AI,INPUT_DATA!$A:$A,$B34,INPUT_DATA!$C:$C,"D"))</f>
        <v/>
      </c>
      <c r="CJ34" s="153" t="str">
        <f>IF($B34=0,"",SUMIFS(INPUT_DATA!AJ:AJ,INPUT_DATA!$A:$A,$B34,INPUT_DATA!$C:$C,"D"))</f>
        <v/>
      </c>
      <c r="CK34" s="153" t="str">
        <f>IF($B34=0,"",SUMIFS(INPUT_DATA!AK:AK,INPUT_DATA!$A:$A,$B34,INPUT_DATA!$C:$C,"D"))</f>
        <v/>
      </c>
      <c r="CL34" s="153" t="str">
        <f>IF($B34=0,"",SUMIFS(INPUT_DATA!AL:AL,INPUT_DATA!$A:$A,$B34,INPUT_DATA!$C:$C,"D"))</f>
        <v/>
      </c>
      <c r="CM34" s="153" t="str">
        <f>IF($B34=0,"",SUMIFS(INPUT_DATA!AM:AM,INPUT_DATA!$A:$A,$B34,INPUT_DATA!$C:$C,"D"))</f>
        <v/>
      </c>
      <c r="CN34" s="153" t="str">
        <f>IF($B34=0,"",SUMIFS(INPUT_DATA!AN:AN,INPUT_DATA!$A:$A,$B34,INPUT_DATA!$C:$C,"D"))</f>
        <v/>
      </c>
      <c r="CO34" s="153" t="str">
        <f>IF($B34=0,"",SUMIFS(INPUT_DATA!AO:AO,INPUT_DATA!$A:$A,$B34,INPUT_DATA!$C:$C,"D"))</f>
        <v/>
      </c>
      <c r="CP34" s="153" t="str">
        <f>IF($B34=0,"",SUMIFS(INPUT_DATA!AP:AP,INPUT_DATA!$A:$A,$B34,INPUT_DATA!$C:$C,"D"))</f>
        <v/>
      </c>
      <c r="CQ34" s="153" t="str">
        <f>IF($B34=0,"",SUMIFS(INPUT_DATA!AQ:AQ,INPUT_DATA!$A:$A,$B34,INPUT_DATA!$C:$C,"D"))</f>
        <v/>
      </c>
      <c r="CR34" s="737" t="str">
        <f t="shared" si="32"/>
        <v/>
      </c>
      <c r="CS34" s="737" t="str">
        <f t="shared" si="33"/>
        <v/>
      </c>
      <c r="CT34" s="737" t="str">
        <f t="shared" si="34"/>
        <v/>
      </c>
      <c r="CU34" s="726" t="str">
        <f>IF($B34=0,"",SUMIFS(INPUT_DATA!AR:AR,INPUT_DATA!$A:$A,$B34,INPUT_DATA!$C:$C,"D"))</f>
        <v/>
      </c>
      <c r="CV34" s="726" t="str">
        <f>IF($B34=0,"",SUMIFS(INPUT_DATA!AS:AS,INPUT_DATA!$A:$A,$B34,INPUT_DATA!$C:$C,"D"))</f>
        <v/>
      </c>
      <c r="CW34" s="726" t="str">
        <f>IF($B34=0,"",SUMIFS(INPUT_DATA!AT:AT,INPUT_DATA!$A:$A,$B34,INPUT_DATA!$C:$C,"D"))</f>
        <v/>
      </c>
      <c r="CX34" s="726" t="str">
        <f t="shared" si="35"/>
        <v/>
      </c>
      <c r="CY34" s="737" t="str">
        <f t="shared" si="36"/>
        <v/>
      </c>
      <c r="CZ34" s="748" t="str">
        <f t="shared" si="37"/>
        <v/>
      </c>
      <c r="DA34" s="150"/>
    </row>
    <row r="35" spans="1:105" x14ac:dyDescent="0.2">
      <c r="B35" s="720">
        <f>INPUT_DATA!BQ22</f>
        <v>0</v>
      </c>
      <c r="C35" s="725" t="str">
        <f>IF($B35=0,"",SUMIFS(INPUT_DATA!D:D,INPUT_DATA!$A:$A,$B35,INPUT_DATA!$C:$C,"S"))</f>
        <v/>
      </c>
      <c r="D35" s="726" t="str">
        <f>IF($B35=0,"",SUMIFS(INPUT_DATA!E:E,INPUT_DATA!$A:$A,$B35,INPUT_DATA!$C:$C,"S"))</f>
        <v/>
      </c>
      <c r="E35" s="727" t="str">
        <f>IF($B35=0,"",SUMIFS(INPUT_DATA!F:F,INPUT_DATA!$A:$A,$B35,INPUT_DATA!$C:$C,"S"))</f>
        <v/>
      </c>
      <c r="F35" s="727" t="str">
        <f>IF($B35=0,"",SUMIFS(INPUT_DATA!G:G,INPUT_DATA!$A:$A,$B35,INPUT_DATA!$C:$C,"S"))</f>
        <v/>
      </c>
      <c r="G35" s="727" t="str">
        <f>IF($B35=0,"",SUMIFS(INPUT_DATA!H:H,INPUT_DATA!$A:$A,$B35,INPUT_DATA!$C:$C,"S"))</f>
        <v/>
      </c>
      <c r="H35" s="727" t="str">
        <f>IF($B35=0,"",SUMIFS(INPUT_DATA!I:I,INPUT_DATA!$A:$A,$B35,INPUT_DATA!$C:$C,"S"))</f>
        <v/>
      </c>
      <c r="I35" s="727" t="str">
        <f>IF($B35=0,"",SUMIFS(INPUT_DATA!J:J,INPUT_DATA!$A:$A,$B35,INPUT_DATA!$C:$C,"S"))</f>
        <v/>
      </c>
      <c r="J35" s="727" t="str">
        <f>IF($B35=0,"",SUMIFS(INPUT_DATA!K:K,INPUT_DATA!$A:$A,$B35,INPUT_DATA!$C:$C,"S"))</f>
        <v/>
      </c>
      <c r="K35" s="727" t="str">
        <f>IF($B35=0,"",SUMIFS(INPUT_DATA!L:L,INPUT_DATA!$A:$A,$B35,INPUT_DATA!$C:$C,"S"))</f>
        <v/>
      </c>
      <c r="L35" s="727" t="str">
        <f>IF($B35=0,"",SUMIFS(INPUT_DATA!M:M,INPUT_DATA!$A:$A,$B35,INPUT_DATA!$C:$C,"S"))</f>
        <v/>
      </c>
      <c r="M35" s="727" t="str">
        <f>IF($B35=0,"",SUMIFS(INPUT_DATA!N:N,INPUT_DATA!$A:$A,$B35,INPUT_DATA!$C:$C,"S"))</f>
        <v/>
      </c>
      <c r="N35" s="727" t="str">
        <f>IF($B35=0,"",SUMIFS(INPUT_DATA!O:O,INPUT_DATA!$A:$A,$B35,INPUT_DATA!$C:$C,"S"))</f>
        <v/>
      </c>
      <c r="O35" s="728" t="str">
        <f t="shared" si="38"/>
        <v/>
      </c>
      <c r="P35" s="729" t="str">
        <f>IF($B35=0,"",SUMIFS(INPUT_DATA!P:P,INPUT_DATA!$A:$A,$B35,INPUT_DATA!$C:$C,"S"))</f>
        <v/>
      </c>
      <c r="Q35" s="729" t="str">
        <f t="shared" si="39"/>
        <v/>
      </c>
      <c r="R35" s="735" t="str">
        <f>IF($B35=0,"",SUMIFS(INPUT_DATA!Q:Q,INPUT_DATA!$A:$A,$B35,INPUT_DATA!$C:$C,"S"))</f>
        <v/>
      </c>
      <c r="S35" s="735" t="str">
        <f>IF($B35=0,"",SUMIFS(INPUT_DATA!R:R,INPUT_DATA!$A:$A,$B35,INPUT_DATA!$C:$C,"S"))</f>
        <v/>
      </c>
      <c r="T35" s="735" t="str">
        <f>IF($B35=0,"",SUMIFS(INPUT_DATA!S:S,INPUT_DATA!$A:$A,$B35,INPUT_DATA!$C:$C,"S"))</f>
        <v/>
      </c>
      <c r="U35" s="312" t="str">
        <f>IF($B35=0,"",SUMIFS(INPUT_DATA!T:T,INPUT_DATA!$A:$A,$B35,INPUT_DATA!$C:$C,"S"))</f>
        <v/>
      </c>
      <c r="V35" s="312" t="str">
        <f>IF($B35=0,"",SUMIFS(INPUT_DATA!U:U,INPUT_DATA!$A:$A,$B35,INPUT_DATA!$C:$C,"S"))</f>
        <v/>
      </c>
      <c r="W35" s="312" t="str">
        <f>IF($B35=0,"",SUMIFS(INPUT_DATA!V:V,INPUT_DATA!$A:$A,$B35,INPUT_DATA!$C:$C,"S"))</f>
        <v/>
      </c>
      <c r="X35" s="312" t="str">
        <f>IF($B35=0,"",SUMIFS(INPUT_DATA!W:W,INPUT_DATA!$A:$A,$B35,INPUT_DATA!$C:$C,"S"))</f>
        <v/>
      </c>
      <c r="Y35" s="312" t="str">
        <f>IF($B35=0,"",SUMIFS(INPUT_DATA!X:X,INPUT_DATA!$A:$A,$B35,INPUT_DATA!$C:$C,"S"))</f>
        <v/>
      </c>
      <c r="Z35" s="312" t="str">
        <f>IF($B35=0,"",SUMIFS(INPUT_DATA!Y:Y,INPUT_DATA!$A:$A,$B35,INPUT_DATA!$C:$C,"S"))</f>
        <v/>
      </c>
      <c r="AA35" s="312" t="str">
        <f>IF($B35=0,"",SUMIFS(INPUT_DATA!Z:Z,INPUT_DATA!$A:$A,$B35,INPUT_DATA!$C:$C,"S"))</f>
        <v/>
      </c>
      <c r="AB35" s="312" t="str">
        <f>IF($B35=0,"",SUMIFS(INPUT_DATA!AA:AA,INPUT_DATA!$A:$A,$B35,INPUT_DATA!$C:$C,"S"))</f>
        <v/>
      </c>
      <c r="AC35" s="312" t="str">
        <f>IF($B35=0,"",SUMIFS(INPUT_DATA!AB:AB,INPUT_DATA!$A:$A,$B35,INPUT_DATA!$C:$C,"S"))</f>
        <v/>
      </c>
      <c r="AD35" s="312" t="str">
        <f>IF($B35=0,"",SUMIFS(INPUT_DATA!AC:AC,INPUT_DATA!$A:$A,$B35,INPUT_DATA!$C:$C,"S"))</f>
        <v/>
      </c>
      <c r="AE35" s="312" t="str">
        <f>IF($B35=0,"",SUMIFS(INPUT_DATA!AD:AD,INPUT_DATA!$A:$A,$B35,INPUT_DATA!$C:$C,"S"))</f>
        <v/>
      </c>
      <c r="AF35" s="312" t="str">
        <f>IF($B35=0,"",SUMIFS(INPUT_DATA!AE:AE,INPUT_DATA!$A:$A,$B35,INPUT_DATA!$C:$C,"S"))</f>
        <v/>
      </c>
      <c r="AG35" s="312" t="str">
        <f>IF($B35=0,"",SUMIFS(INPUT_DATA!AF:AF,INPUT_DATA!$A:$A,$B35,INPUT_DATA!$C:$C,"S"))</f>
        <v/>
      </c>
      <c r="AH35" s="312" t="str">
        <f>IF($B35=0,"",SUMIFS(INPUT_DATA!AG:AG,INPUT_DATA!$A:$A,$B35,INPUT_DATA!$C:$C,"S"))</f>
        <v/>
      </c>
      <c r="AI35" s="312" t="str">
        <f>IF($B35=0,"",SUMIFS(INPUT_DATA!AH:AH,INPUT_DATA!$A:$A,$B35,INPUT_DATA!$C:$C,"S"))</f>
        <v/>
      </c>
      <c r="AJ35" s="312" t="str">
        <f>IF($B35=0,"",SUMIFS(INPUT_DATA!AI:AI,INPUT_DATA!$A:$A,$B35,INPUT_DATA!$C:$C,"S"))</f>
        <v/>
      </c>
      <c r="AK35" s="312" t="str">
        <f>IF($B35=0,"",SUMIFS(INPUT_DATA!AJ:AJ,INPUT_DATA!$A:$A,$B35,INPUT_DATA!$C:$C,"S"))</f>
        <v/>
      </c>
      <c r="AL35" s="312" t="str">
        <f>IF($B35=0,"",SUMIFS(INPUT_DATA!AK:AK,INPUT_DATA!$A:$A,$B35,INPUT_DATA!$C:$C,"S"))</f>
        <v/>
      </c>
      <c r="AM35" s="312" t="str">
        <f>IF($B35=0,"",SUMIFS(INPUT_DATA!AL:AL,INPUT_DATA!$A:$A,$B35,INPUT_DATA!$C:$C,"S"))</f>
        <v/>
      </c>
      <c r="AN35" s="312" t="str">
        <f>IF($B35=0,"",SUMIFS(INPUT_DATA!AM:AM,INPUT_DATA!$A:$A,$B35,INPUT_DATA!$C:$C,"S"))</f>
        <v/>
      </c>
      <c r="AO35" s="312" t="str">
        <f>IF($B35=0,"",SUMIFS(INPUT_DATA!AN:AN,INPUT_DATA!$A:$A,$B35,INPUT_DATA!$C:$C,"S"))</f>
        <v/>
      </c>
      <c r="AP35" s="312" t="str">
        <f>IF($B35=0,"",SUMIFS(INPUT_DATA!AO:AO,INPUT_DATA!$A:$A,$B35,INPUT_DATA!$C:$C,"S"))</f>
        <v/>
      </c>
      <c r="AQ35" s="312" t="str">
        <f>IF($B35=0,"",SUMIFS(INPUT_DATA!AP:AP,INPUT_DATA!$A:$A,$B35,INPUT_DATA!$C:$C,"S"))</f>
        <v/>
      </c>
      <c r="AR35" s="312" t="str">
        <f>IF($B35=0,"",SUMIFS(INPUT_DATA!AQ:AQ,INPUT_DATA!$A:$A,$B35,INPUT_DATA!$C:$C,"S"))</f>
        <v/>
      </c>
      <c r="AS35" s="736" t="str">
        <f t="shared" si="29"/>
        <v/>
      </c>
      <c r="AT35" s="737" t="str">
        <f t="shared" si="30"/>
        <v/>
      </c>
      <c r="AU35" s="738" t="str">
        <f t="shared" si="31"/>
        <v/>
      </c>
      <c r="AV35" s="736" t="str">
        <f>IF($B35=0,"",SUMIFS(INPUT_DATA!AR:AR,INPUT_DATA!$A:$A,$B35,INPUT_DATA!$C:$C,"S"))</f>
        <v/>
      </c>
      <c r="AW35" s="737" t="str">
        <f>IF($B35=0,"",SUMIFS(INPUT_DATA!AS:AS,INPUT_DATA!$A:$A,$B35,INPUT_DATA!$C:$C,"S"))</f>
        <v/>
      </c>
      <c r="AX35" s="738" t="str">
        <f>IF($B35=0,"",SUMIFS(INPUT_DATA!AT:AT,INPUT_DATA!$A:$A,$B35,INPUT_DATA!$C:$C,"S"))</f>
        <v/>
      </c>
      <c r="AY35" s="736" t="str">
        <f t="shared" si="15"/>
        <v/>
      </c>
      <c r="AZ35" s="737" t="str">
        <f t="shared" si="16"/>
        <v/>
      </c>
      <c r="BA35" s="738" t="str">
        <f t="shared" si="17"/>
        <v/>
      </c>
      <c r="BB35" s="150"/>
      <c r="BC35" s="725" t="str">
        <f>IF($B35=0,"",SUMIFS(INPUT_DATA!D:D,INPUT_DATA!$A:$A,$B35,INPUT_DATA!$C:$C,"D"))</f>
        <v/>
      </c>
      <c r="BD35" s="311" t="str">
        <f>IF($B35=0,"",SUMIFS(INPUT_DATA!F:F,INPUT_DATA!$A:$A,$B35,INPUT_DATA!$C:$C,"D"))</f>
        <v/>
      </c>
      <c r="BE35" s="311" t="str">
        <f>IF($B35=0,"",SUMIFS(INPUT_DATA!G:G,INPUT_DATA!$A:$A,$B35,INPUT_DATA!$C:$C,"D"))</f>
        <v/>
      </c>
      <c r="BF35" s="311" t="str">
        <f>IF($B35=0,"",SUMIFS(INPUT_DATA!H:H,INPUT_DATA!$A:$A,$B35,INPUT_DATA!$C:$C,"D"))</f>
        <v/>
      </c>
      <c r="BG35" s="311" t="str">
        <f>IF($B35=0,"",SUMIFS(INPUT_DATA!I:I,INPUT_DATA!$A:$A,$B35,INPUT_DATA!$C:$C,"D"))</f>
        <v/>
      </c>
      <c r="BH35" s="311" t="str">
        <f>IF($B35=0,"",SUMIFS(INPUT_DATA!J:J,INPUT_DATA!$A:$A,$B35,INPUT_DATA!$C:$C,"D"))</f>
        <v/>
      </c>
      <c r="BI35" s="311" t="str">
        <f>IF($B35=0,"",SUMIFS(INPUT_DATA!K:K,INPUT_DATA!$A:$A,$B35,INPUT_DATA!$C:$C,"D"))</f>
        <v/>
      </c>
      <c r="BJ35" s="311" t="str">
        <f>IF($B35=0,"",SUMIFS(INPUT_DATA!L:L,INPUT_DATA!$A:$A,$B35,INPUT_DATA!$C:$C,"D"))</f>
        <v/>
      </c>
      <c r="BK35" s="311" t="str">
        <f>IF($B35=0,"",SUMIFS(INPUT_DATA!M:M,INPUT_DATA!$A:$A,$B35,INPUT_DATA!$C:$C,"D"))</f>
        <v/>
      </c>
      <c r="BL35" s="311" t="str">
        <f>IF($B35=0,"",SUMIFS(INPUT_DATA!N:N,INPUT_DATA!$A:$A,$B35,INPUT_DATA!$C:$C,"D"))</f>
        <v/>
      </c>
      <c r="BM35" s="311" t="str">
        <f>IF($B35=0,"",SUMIFS(INPUT_DATA!O:O,INPUT_DATA!$A:$A,$B35,INPUT_DATA!$C:$C,"D"))</f>
        <v/>
      </c>
      <c r="BN35" s="741" t="str">
        <f t="shared" si="18"/>
        <v/>
      </c>
      <c r="BO35" s="741" t="str">
        <f>IF($B35=0,"",SUMIFS(INPUT_DATA!O:O,INPUT_DATA!$A:$A,$B35,INPUT_DATA!$C:$C,"D"))</f>
        <v/>
      </c>
      <c r="BP35" s="741" t="str">
        <f t="shared" si="19"/>
        <v/>
      </c>
      <c r="BQ35" s="725" t="str">
        <f>IF($B35=0,"",SUMIFS(INPUT_DATA!Q:Q,INPUT_DATA!$A:$A,$B35,INPUT_DATA!$C:$C,"D"))</f>
        <v/>
      </c>
      <c r="BR35" s="747" t="str">
        <f>IF($B35=0,"",SUMIFS(INPUT_DATA!R:R,INPUT_DATA!$A:$A,$B35,INPUT_DATA!$C:$C,"D"))</f>
        <v/>
      </c>
      <c r="BS35" s="747" t="str">
        <f>IF($B35=0,"",SUMIFS(INPUT_DATA!S:S,INPUT_DATA!$A:$A,$B35,INPUT_DATA!$C:$C,"D"))</f>
        <v/>
      </c>
      <c r="BT35" s="311" t="str">
        <f>IF($B35=0,"",SUMIFS(INPUT_DATA!T:T,INPUT_DATA!$A:$A,$B35,INPUT_DATA!$C:$C,"D"))</f>
        <v/>
      </c>
      <c r="BU35" s="311" t="str">
        <f>IF($B35=0,"",SUMIFS(INPUT_DATA!U:U,INPUT_DATA!$A:$A,$B35,INPUT_DATA!$C:$C,"D"))</f>
        <v/>
      </c>
      <c r="BV35" s="311" t="str">
        <f>IF($B35=0,"",SUMIFS(INPUT_DATA!V:V,INPUT_DATA!$A:$A,$B35,INPUT_DATA!$C:$C,"D"))</f>
        <v/>
      </c>
      <c r="BW35" s="311" t="str">
        <f>IF($B35=0,"",SUMIFS(INPUT_DATA!W:W,INPUT_DATA!$A:$A,$B35,INPUT_DATA!$C:$C,"D"))</f>
        <v/>
      </c>
      <c r="BX35" s="311" t="str">
        <f>IF($B35=0,"",SUMIFS(INPUT_DATA!X:X,INPUT_DATA!$A:$A,$B35,INPUT_DATA!$C:$C,"D"))</f>
        <v/>
      </c>
      <c r="BY35" s="311" t="str">
        <f>IF($B35=0,"",SUMIFS(INPUT_DATA!Y:Y,INPUT_DATA!$A:$A,$B35,INPUT_DATA!$C:$C,"D"))</f>
        <v/>
      </c>
      <c r="BZ35" s="352" t="str">
        <f>IF($B35=0,"",SUMIFS(INPUT_DATA!Z:Z,INPUT_DATA!$A:$A,$B35,INPUT_DATA!$C:$C,"D"))</f>
        <v/>
      </c>
      <c r="CA35" s="352" t="str">
        <f>IF($B35=0,"",SUMIFS(INPUT_DATA!AA:AA,INPUT_DATA!$A:$A,$B35,INPUT_DATA!$C:$C,"D"))</f>
        <v/>
      </c>
      <c r="CB35" s="352" t="str">
        <f>IF($B35=0,"",SUMIFS(INPUT_DATA!AB:AB,INPUT_DATA!$A:$A,$B35,INPUT_DATA!$C:$C,"D"))</f>
        <v/>
      </c>
      <c r="CC35" s="311" t="str">
        <f>IF($B35=0,"",SUMIFS(INPUT_DATA!AC:AC,INPUT_DATA!$A:$A,$B35,INPUT_DATA!$C:$C,"D"))</f>
        <v/>
      </c>
      <c r="CD35" s="311" t="str">
        <f>IF($B35=0,"",SUMIFS(INPUT_DATA!AD:AD,INPUT_DATA!$A:$A,$B35,INPUT_DATA!$C:$C,"D"))</f>
        <v/>
      </c>
      <c r="CE35" s="311" t="str">
        <f>IF($B35=0,"",SUMIFS(INPUT_DATA!AE:AE,INPUT_DATA!$A:$A,$B35,INPUT_DATA!$C:$C,"D"))</f>
        <v/>
      </c>
      <c r="CF35" s="352" t="str">
        <f>IF($B35=0,"",SUMIFS(INPUT_DATA!AF:AF,INPUT_DATA!$A:$A,$B35,INPUT_DATA!$C:$C,"D"))</f>
        <v/>
      </c>
      <c r="CG35" s="352" t="str">
        <f>IF($B35=0,"",SUMIFS(INPUT_DATA!AG:AG,INPUT_DATA!$A:$A,$B35,INPUT_DATA!$C:$C,"D"))</f>
        <v/>
      </c>
      <c r="CH35" s="352" t="str">
        <f>IF($B35=0,"",SUMIFS(INPUT_DATA!AH:AH,INPUT_DATA!$A:$A,$B35,INPUT_DATA!$C:$C,"D"))</f>
        <v/>
      </c>
      <c r="CI35" s="153" t="str">
        <f>IF($B35=0,"",SUMIFS(INPUT_DATA!AI:AI,INPUT_DATA!$A:$A,$B35,INPUT_DATA!$C:$C,"D"))</f>
        <v/>
      </c>
      <c r="CJ35" s="153" t="str">
        <f>IF($B35=0,"",SUMIFS(INPUT_DATA!AJ:AJ,INPUT_DATA!$A:$A,$B35,INPUT_DATA!$C:$C,"D"))</f>
        <v/>
      </c>
      <c r="CK35" s="153" t="str">
        <f>IF($B35=0,"",SUMIFS(INPUT_DATA!AK:AK,INPUT_DATA!$A:$A,$B35,INPUT_DATA!$C:$C,"D"))</f>
        <v/>
      </c>
      <c r="CL35" s="153" t="str">
        <f>IF($B35=0,"",SUMIFS(INPUT_DATA!AL:AL,INPUT_DATA!$A:$A,$B35,INPUT_DATA!$C:$C,"D"))</f>
        <v/>
      </c>
      <c r="CM35" s="153" t="str">
        <f>IF($B35=0,"",SUMIFS(INPUT_DATA!AM:AM,INPUT_DATA!$A:$A,$B35,INPUT_DATA!$C:$C,"D"))</f>
        <v/>
      </c>
      <c r="CN35" s="153" t="str">
        <f>IF($B35=0,"",SUMIFS(INPUT_DATA!AN:AN,INPUT_DATA!$A:$A,$B35,INPUT_DATA!$C:$C,"D"))</f>
        <v/>
      </c>
      <c r="CO35" s="153" t="str">
        <f>IF($B35=0,"",SUMIFS(INPUT_DATA!AO:AO,INPUT_DATA!$A:$A,$B35,INPUT_DATA!$C:$C,"D"))</f>
        <v/>
      </c>
      <c r="CP35" s="153" t="str">
        <f>IF($B35=0,"",SUMIFS(INPUT_DATA!AP:AP,INPUT_DATA!$A:$A,$B35,INPUT_DATA!$C:$C,"D"))</f>
        <v/>
      </c>
      <c r="CQ35" s="153" t="str">
        <f>IF($B35=0,"",SUMIFS(INPUT_DATA!AQ:AQ,INPUT_DATA!$A:$A,$B35,INPUT_DATA!$C:$C,"D"))</f>
        <v/>
      </c>
      <c r="CR35" s="737" t="str">
        <f t="shared" si="32"/>
        <v/>
      </c>
      <c r="CS35" s="737" t="str">
        <f t="shared" si="33"/>
        <v/>
      </c>
      <c r="CT35" s="737" t="str">
        <f t="shared" si="34"/>
        <v/>
      </c>
      <c r="CU35" s="726" t="str">
        <f>IF($B35=0,"",SUMIFS(INPUT_DATA!AR:AR,INPUT_DATA!$A:$A,$B35,INPUT_DATA!$C:$C,"D"))</f>
        <v/>
      </c>
      <c r="CV35" s="726" t="str">
        <f>IF($B35=0,"",SUMIFS(INPUT_DATA!AS:AS,INPUT_DATA!$A:$A,$B35,INPUT_DATA!$C:$C,"D"))</f>
        <v/>
      </c>
      <c r="CW35" s="726" t="str">
        <f>IF($B35=0,"",SUMIFS(INPUT_DATA!AT:AT,INPUT_DATA!$A:$A,$B35,INPUT_DATA!$C:$C,"D"))</f>
        <v/>
      </c>
      <c r="CX35" s="726" t="str">
        <f t="shared" si="35"/>
        <v/>
      </c>
      <c r="CY35" s="737" t="str">
        <f t="shared" si="36"/>
        <v/>
      </c>
      <c r="CZ35" s="748" t="str">
        <f t="shared" si="37"/>
        <v/>
      </c>
      <c r="DA35" s="150"/>
    </row>
    <row r="36" spans="1:105" x14ac:dyDescent="0.2">
      <c r="B36" s="720">
        <f>INPUT_DATA!BQ23</f>
        <v>0</v>
      </c>
      <c r="C36" s="725" t="str">
        <f>IF($B36=0,"",SUMIFS(INPUT_DATA!D:D,INPUT_DATA!$A:$A,$B36,INPUT_DATA!$C:$C,"S"))</f>
        <v/>
      </c>
      <c r="D36" s="726" t="str">
        <f>IF($B36=0,"",SUMIFS(INPUT_DATA!E:E,INPUT_DATA!$A:$A,$B36,INPUT_DATA!$C:$C,"S"))</f>
        <v/>
      </c>
      <c r="E36" s="727" t="str">
        <f>IF($B36=0,"",SUMIFS(INPUT_DATA!F:F,INPUT_DATA!$A:$A,$B36,INPUT_DATA!$C:$C,"S"))</f>
        <v/>
      </c>
      <c r="F36" s="727" t="str">
        <f>IF($B36=0,"",SUMIFS(INPUT_DATA!G:G,INPUT_DATA!$A:$A,$B36,INPUT_DATA!$C:$C,"S"))</f>
        <v/>
      </c>
      <c r="G36" s="727" t="str">
        <f>IF($B36=0,"",SUMIFS(INPUT_DATA!H:H,INPUT_DATA!$A:$A,$B36,INPUT_DATA!$C:$C,"S"))</f>
        <v/>
      </c>
      <c r="H36" s="727" t="str">
        <f>IF($B36=0,"",SUMIFS(INPUT_DATA!I:I,INPUT_DATA!$A:$A,$B36,INPUT_DATA!$C:$C,"S"))</f>
        <v/>
      </c>
      <c r="I36" s="727" t="str">
        <f>IF($B36=0,"",SUMIFS(INPUT_DATA!J:J,INPUT_DATA!$A:$A,$B36,INPUT_DATA!$C:$C,"S"))</f>
        <v/>
      </c>
      <c r="J36" s="727" t="str">
        <f>IF($B36=0,"",SUMIFS(INPUT_DATA!K:K,INPUT_DATA!$A:$A,$B36,INPUT_DATA!$C:$C,"S"))</f>
        <v/>
      </c>
      <c r="K36" s="727" t="str">
        <f>IF($B36=0,"",SUMIFS(INPUT_DATA!L:L,INPUT_DATA!$A:$A,$B36,INPUT_DATA!$C:$C,"S"))</f>
        <v/>
      </c>
      <c r="L36" s="727" t="str">
        <f>IF($B36=0,"",SUMIFS(INPUT_DATA!M:M,INPUT_DATA!$A:$A,$B36,INPUT_DATA!$C:$C,"S"))</f>
        <v/>
      </c>
      <c r="M36" s="727" t="str">
        <f>IF($B36=0,"",SUMIFS(INPUT_DATA!N:N,INPUT_DATA!$A:$A,$B36,INPUT_DATA!$C:$C,"S"))</f>
        <v/>
      </c>
      <c r="N36" s="727" t="str">
        <f>IF($B36=0,"",SUMIFS(INPUT_DATA!O:O,INPUT_DATA!$A:$A,$B36,INPUT_DATA!$C:$C,"S"))</f>
        <v/>
      </c>
      <c r="O36" s="728" t="str">
        <f t="shared" si="38"/>
        <v/>
      </c>
      <c r="P36" s="729" t="str">
        <f>IF($B36=0,"",SUMIFS(INPUT_DATA!P:P,INPUT_DATA!$A:$A,$B36,INPUT_DATA!$C:$C,"S"))</f>
        <v/>
      </c>
      <c r="Q36" s="729" t="str">
        <f t="shared" si="39"/>
        <v/>
      </c>
      <c r="R36" s="735" t="str">
        <f>IF($B36=0,"",SUMIFS(INPUT_DATA!Q:Q,INPUT_DATA!$A:$A,$B36,INPUT_DATA!$C:$C,"S"))</f>
        <v/>
      </c>
      <c r="S36" s="735" t="str">
        <f>IF($B36=0,"",SUMIFS(INPUT_DATA!R:R,INPUT_DATA!$A:$A,$B36,INPUT_DATA!$C:$C,"S"))</f>
        <v/>
      </c>
      <c r="T36" s="735" t="str">
        <f>IF($B36=0,"",SUMIFS(INPUT_DATA!S:S,INPUT_DATA!$A:$A,$B36,INPUT_DATA!$C:$C,"S"))</f>
        <v/>
      </c>
      <c r="U36" s="312" t="str">
        <f>IF($B36=0,"",SUMIFS(INPUT_DATA!T:T,INPUT_DATA!$A:$A,$B36,INPUT_DATA!$C:$C,"S"))</f>
        <v/>
      </c>
      <c r="V36" s="312" t="str">
        <f>IF($B36=0,"",SUMIFS(INPUT_DATA!U:U,INPUT_DATA!$A:$A,$B36,INPUT_DATA!$C:$C,"S"))</f>
        <v/>
      </c>
      <c r="W36" s="312" t="str">
        <f>IF($B36=0,"",SUMIFS(INPUT_DATA!V:V,INPUT_DATA!$A:$A,$B36,INPUT_DATA!$C:$C,"S"))</f>
        <v/>
      </c>
      <c r="X36" s="312" t="str">
        <f>IF($B36=0,"",SUMIFS(INPUT_DATA!W:W,INPUT_DATA!$A:$A,$B36,INPUT_DATA!$C:$C,"S"))</f>
        <v/>
      </c>
      <c r="Y36" s="312" t="str">
        <f>IF($B36=0,"",SUMIFS(INPUT_DATA!X:X,INPUT_DATA!$A:$A,$B36,INPUT_DATA!$C:$C,"S"))</f>
        <v/>
      </c>
      <c r="Z36" s="312" t="str">
        <f>IF($B36=0,"",SUMIFS(INPUT_DATA!Y:Y,INPUT_DATA!$A:$A,$B36,INPUT_DATA!$C:$C,"S"))</f>
        <v/>
      </c>
      <c r="AA36" s="312" t="str">
        <f>IF($B36=0,"",SUMIFS(INPUT_DATA!Z:Z,INPUT_DATA!$A:$A,$B36,INPUT_DATA!$C:$C,"S"))</f>
        <v/>
      </c>
      <c r="AB36" s="312" t="str">
        <f>IF($B36=0,"",SUMIFS(INPUT_DATA!AA:AA,INPUT_DATA!$A:$A,$B36,INPUT_DATA!$C:$C,"S"))</f>
        <v/>
      </c>
      <c r="AC36" s="312" t="str">
        <f>IF($B36=0,"",SUMIFS(INPUT_DATA!AB:AB,INPUT_DATA!$A:$A,$B36,INPUT_DATA!$C:$C,"S"))</f>
        <v/>
      </c>
      <c r="AD36" s="312" t="str">
        <f>IF($B36=0,"",SUMIFS(INPUT_DATA!AC:AC,INPUT_DATA!$A:$A,$B36,INPUT_DATA!$C:$C,"S"))</f>
        <v/>
      </c>
      <c r="AE36" s="312" t="str">
        <f>IF($B36=0,"",SUMIFS(INPUT_DATA!AD:AD,INPUT_DATA!$A:$A,$B36,INPUT_DATA!$C:$C,"S"))</f>
        <v/>
      </c>
      <c r="AF36" s="312" t="str">
        <f>IF($B36=0,"",SUMIFS(INPUT_DATA!AE:AE,INPUT_DATA!$A:$A,$B36,INPUT_DATA!$C:$C,"S"))</f>
        <v/>
      </c>
      <c r="AG36" s="312" t="str">
        <f>IF($B36=0,"",SUMIFS(INPUT_DATA!AF:AF,INPUT_DATA!$A:$A,$B36,INPUT_DATA!$C:$C,"S"))</f>
        <v/>
      </c>
      <c r="AH36" s="312" t="str">
        <f>IF($B36=0,"",SUMIFS(INPUT_DATA!AG:AG,INPUT_DATA!$A:$A,$B36,INPUT_DATA!$C:$C,"S"))</f>
        <v/>
      </c>
      <c r="AI36" s="312" t="str">
        <f>IF($B36=0,"",SUMIFS(INPUT_DATA!AH:AH,INPUT_DATA!$A:$A,$B36,INPUT_DATA!$C:$C,"S"))</f>
        <v/>
      </c>
      <c r="AJ36" s="312" t="str">
        <f>IF($B36=0,"",SUMIFS(INPUT_DATA!AI:AI,INPUT_DATA!$A:$A,$B36,INPUT_DATA!$C:$C,"S"))</f>
        <v/>
      </c>
      <c r="AK36" s="312" t="str">
        <f>IF($B36=0,"",SUMIFS(INPUT_DATA!AJ:AJ,INPUT_DATA!$A:$A,$B36,INPUT_DATA!$C:$C,"S"))</f>
        <v/>
      </c>
      <c r="AL36" s="312" t="str">
        <f>IF($B36=0,"",SUMIFS(INPUT_DATA!AK:AK,INPUT_DATA!$A:$A,$B36,INPUT_DATA!$C:$C,"S"))</f>
        <v/>
      </c>
      <c r="AM36" s="312" t="str">
        <f>IF($B36=0,"",SUMIFS(INPUT_DATA!AL:AL,INPUT_DATA!$A:$A,$B36,INPUT_DATA!$C:$C,"S"))</f>
        <v/>
      </c>
      <c r="AN36" s="312" t="str">
        <f>IF($B36=0,"",SUMIFS(INPUT_DATA!AM:AM,INPUT_DATA!$A:$A,$B36,INPUT_DATA!$C:$C,"S"))</f>
        <v/>
      </c>
      <c r="AO36" s="312" t="str">
        <f>IF($B36=0,"",SUMIFS(INPUT_DATA!AN:AN,INPUT_DATA!$A:$A,$B36,INPUT_DATA!$C:$C,"S"))</f>
        <v/>
      </c>
      <c r="AP36" s="312" t="str">
        <f>IF($B36=0,"",SUMIFS(INPUT_DATA!AO:AO,INPUT_DATA!$A:$A,$B36,INPUT_DATA!$C:$C,"S"))</f>
        <v/>
      </c>
      <c r="AQ36" s="312" t="str">
        <f>IF($B36=0,"",SUMIFS(INPUT_DATA!AP:AP,INPUT_DATA!$A:$A,$B36,INPUT_DATA!$C:$C,"S"))</f>
        <v/>
      </c>
      <c r="AR36" s="312" t="str">
        <f>IF($B36=0,"",SUMIFS(INPUT_DATA!AQ:AQ,INPUT_DATA!$A:$A,$B36,INPUT_DATA!$C:$C,"S"))</f>
        <v/>
      </c>
      <c r="AS36" s="736" t="str">
        <f t="shared" si="29"/>
        <v/>
      </c>
      <c r="AT36" s="737" t="str">
        <f t="shared" si="30"/>
        <v/>
      </c>
      <c r="AU36" s="738" t="str">
        <f t="shared" si="31"/>
        <v/>
      </c>
      <c r="AV36" s="736" t="str">
        <f>IF($B36=0,"",SUMIFS(INPUT_DATA!AR:AR,INPUT_DATA!$A:$A,$B36,INPUT_DATA!$C:$C,"S"))</f>
        <v/>
      </c>
      <c r="AW36" s="737" t="str">
        <f>IF($B36=0,"",SUMIFS(INPUT_DATA!AS:AS,INPUT_DATA!$A:$A,$B36,INPUT_DATA!$C:$C,"S"))</f>
        <v/>
      </c>
      <c r="AX36" s="738" t="str">
        <f>IF($B36=0,"",SUMIFS(INPUT_DATA!AT:AT,INPUT_DATA!$A:$A,$B36,INPUT_DATA!$C:$C,"S"))</f>
        <v/>
      </c>
      <c r="AY36" s="736" t="str">
        <f t="shared" si="15"/>
        <v/>
      </c>
      <c r="AZ36" s="737" t="str">
        <f t="shared" si="16"/>
        <v/>
      </c>
      <c r="BA36" s="738" t="str">
        <f t="shared" si="17"/>
        <v/>
      </c>
      <c r="BB36" s="150"/>
      <c r="BC36" s="725" t="str">
        <f>IF($B36=0,"",SUMIFS(INPUT_DATA!D:D,INPUT_DATA!$A:$A,$B36,INPUT_DATA!$C:$C,"D"))</f>
        <v/>
      </c>
      <c r="BD36" s="311" t="str">
        <f>IF($B36=0,"",SUMIFS(INPUT_DATA!F:F,INPUT_DATA!$A:$A,$B36,INPUT_DATA!$C:$C,"D"))</f>
        <v/>
      </c>
      <c r="BE36" s="311" t="str">
        <f>IF($B36=0,"",SUMIFS(INPUT_DATA!G:G,INPUT_DATA!$A:$A,$B36,INPUT_DATA!$C:$C,"D"))</f>
        <v/>
      </c>
      <c r="BF36" s="311" t="str">
        <f>IF($B36=0,"",SUMIFS(INPUT_DATA!H:H,INPUT_DATA!$A:$A,$B36,INPUT_DATA!$C:$C,"D"))</f>
        <v/>
      </c>
      <c r="BG36" s="311" t="str">
        <f>IF($B36=0,"",SUMIFS(INPUT_DATA!I:I,INPUT_DATA!$A:$A,$B36,INPUT_DATA!$C:$C,"D"))</f>
        <v/>
      </c>
      <c r="BH36" s="311" t="str">
        <f>IF($B36=0,"",SUMIFS(INPUT_DATA!J:J,INPUT_DATA!$A:$A,$B36,INPUT_DATA!$C:$C,"D"))</f>
        <v/>
      </c>
      <c r="BI36" s="311" t="str">
        <f>IF($B36=0,"",SUMIFS(INPUT_DATA!K:K,INPUT_DATA!$A:$A,$B36,INPUT_DATA!$C:$C,"D"))</f>
        <v/>
      </c>
      <c r="BJ36" s="311" t="str">
        <f>IF($B36=0,"",SUMIFS(INPUT_DATA!L:L,INPUT_DATA!$A:$A,$B36,INPUT_DATA!$C:$C,"D"))</f>
        <v/>
      </c>
      <c r="BK36" s="311" t="str">
        <f>IF($B36=0,"",SUMIFS(INPUT_DATA!M:M,INPUT_DATA!$A:$A,$B36,INPUT_DATA!$C:$C,"D"))</f>
        <v/>
      </c>
      <c r="BL36" s="311" t="str">
        <f>IF($B36=0,"",SUMIFS(INPUT_DATA!N:N,INPUT_DATA!$A:$A,$B36,INPUT_DATA!$C:$C,"D"))</f>
        <v/>
      </c>
      <c r="BM36" s="311" t="str">
        <f>IF($B36=0,"",SUMIFS(INPUT_DATA!O:O,INPUT_DATA!$A:$A,$B36,INPUT_DATA!$C:$C,"D"))</f>
        <v/>
      </c>
      <c r="BN36" s="741" t="str">
        <f t="shared" si="18"/>
        <v/>
      </c>
      <c r="BO36" s="741" t="str">
        <f>IF($B36=0,"",SUMIFS(INPUT_DATA!O:O,INPUT_DATA!$A:$A,$B36,INPUT_DATA!$C:$C,"D"))</f>
        <v/>
      </c>
      <c r="BP36" s="741" t="str">
        <f t="shared" si="19"/>
        <v/>
      </c>
      <c r="BQ36" s="725" t="str">
        <f>IF($B36=0,"",SUMIFS(INPUT_DATA!Q:Q,INPUT_DATA!$A:$A,$B36,INPUT_DATA!$C:$C,"D"))</f>
        <v/>
      </c>
      <c r="BR36" s="747" t="str">
        <f>IF($B36=0,"",SUMIFS(INPUT_DATA!R:R,INPUT_DATA!$A:$A,$B36,INPUT_DATA!$C:$C,"D"))</f>
        <v/>
      </c>
      <c r="BS36" s="747" t="str">
        <f>IF($B36=0,"",SUMIFS(INPUT_DATA!S:S,INPUT_DATA!$A:$A,$B36,INPUT_DATA!$C:$C,"D"))</f>
        <v/>
      </c>
      <c r="BT36" s="311" t="str">
        <f>IF($B36=0,"",SUMIFS(INPUT_DATA!T:T,INPUT_DATA!$A:$A,$B36,INPUT_DATA!$C:$C,"D"))</f>
        <v/>
      </c>
      <c r="BU36" s="311" t="str">
        <f>IF($B36=0,"",SUMIFS(INPUT_DATA!U:U,INPUT_DATA!$A:$A,$B36,INPUT_DATA!$C:$C,"D"))</f>
        <v/>
      </c>
      <c r="BV36" s="311" t="str">
        <f>IF($B36=0,"",SUMIFS(INPUT_DATA!V:V,INPUT_DATA!$A:$A,$B36,INPUT_DATA!$C:$C,"D"))</f>
        <v/>
      </c>
      <c r="BW36" s="311" t="str">
        <f>IF($B36=0,"",SUMIFS(INPUT_DATA!W:W,INPUT_DATA!$A:$A,$B36,INPUT_DATA!$C:$C,"D"))</f>
        <v/>
      </c>
      <c r="BX36" s="311" t="str">
        <f>IF($B36=0,"",SUMIFS(INPUT_DATA!X:X,INPUT_DATA!$A:$A,$B36,INPUT_DATA!$C:$C,"D"))</f>
        <v/>
      </c>
      <c r="BY36" s="311" t="str">
        <f>IF($B36=0,"",SUMIFS(INPUT_DATA!Y:Y,INPUT_DATA!$A:$A,$B36,INPUT_DATA!$C:$C,"D"))</f>
        <v/>
      </c>
      <c r="BZ36" s="352" t="str">
        <f>IF($B36=0,"",SUMIFS(INPUT_DATA!Z:Z,INPUT_DATA!$A:$A,$B36,INPUT_DATA!$C:$C,"D"))</f>
        <v/>
      </c>
      <c r="CA36" s="352" t="str">
        <f>IF($B36=0,"",SUMIFS(INPUT_DATA!AA:AA,INPUT_DATA!$A:$A,$B36,INPUT_DATA!$C:$C,"D"))</f>
        <v/>
      </c>
      <c r="CB36" s="352" t="str">
        <f>IF($B36=0,"",SUMIFS(INPUT_DATA!AB:AB,INPUT_DATA!$A:$A,$B36,INPUT_DATA!$C:$C,"D"))</f>
        <v/>
      </c>
      <c r="CC36" s="311" t="str">
        <f>IF($B36=0,"",SUMIFS(INPUT_DATA!AC:AC,INPUT_DATA!$A:$A,$B36,INPUT_DATA!$C:$C,"D"))</f>
        <v/>
      </c>
      <c r="CD36" s="311" t="str">
        <f>IF($B36=0,"",SUMIFS(INPUT_DATA!AD:AD,INPUT_DATA!$A:$A,$B36,INPUT_DATA!$C:$C,"D"))</f>
        <v/>
      </c>
      <c r="CE36" s="311" t="str">
        <f>IF($B36=0,"",SUMIFS(INPUT_DATA!AE:AE,INPUT_DATA!$A:$A,$B36,INPUT_DATA!$C:$C,"D"))</f>
        <v/>
      </c>
      <c r="CF36" s="352" t="str">
        <f>IF($B36=0,"",SUMIFS(INPUT_DATA!AF:AF,INPUT_DATA!$A:$A,$B36,INPUT_DATA!$C:$C,"D"))</f>
        <v/>
      </c>
      <c r="CG36" s="352" t="str">
        <f>IF($B36=0,"",SUMIFS(INPUT_DATA!AG:AG,INPUT_DATA!$A:$A,$B36,INPUT_DATA!$C:$C,"D"))</f>
        <v/>
      </c>
      <c r="CH36" s="352" t="str">
        <f>IF($B36=0,"",SUMIFS(INPUT_DATA!AH:AH,INPUT_DATA!$A:$A,$B36,INPUT_DATA!$C:$C,"D"))</f>
        <v/>
      </c>
      <c r="CI36" s="153" t="str">
        <f>IF($B36=0,"",SUMIFS(INPUT_DATA!AI:AI,INPUT_DATA!$A:$A,$B36,INPUT_DATA!$C:$C,"D"))</f>
        <v/>
      </c>
      <c r="CJ36" s="153" t="str">
        <f>IF($B36=0,"",SUMIFS(INPUT_DATA!AJ:AJ,INPUT_DATA!$A:$A,$B36,INPUT_DATA!$C:$C,"D"))</f>
        <v/>
      </c>
      <c r="CK36" s="153" t="str">
        <f>IF($B36=0,"",SUMIFS(INPUT_DATA!AK:AK,INPUT_DATA!$A:$A,$B36,INPUT_DATA!$C:$C,"D"))</f>
        <v/>
      </c>
      <c r="CL36" s="153" t="str">
        <f>IF($B36=0,"",SUMIFS(INPUT_DATA!AL:AL,INPUT_DATA!$A:$A,$B36,INPUT_DATA!$C:$C,"D"))</f>
        <v/>
      </c>
      <c r="CM36" s="153" t="str">
        <f>IF($B36=0,"",SUMIFS(INPUT_DATA!AM:AM,INPUT_DATA!$A:$A,$B36,INPUT_DATA!$C:$C,"D"))</f>
        <v/>
      </c>
      <c r="CN36" s="153" t="str">
        <f>IF($B36=0,"",SUMIFS(INPUT_DATA!AN:AN,INPUT_DATA!$A:$A,$B36,INPUT_DATA!$C:$C,"D"))</f>
        <v/>
      </c>
      <c r="CO36" s="153" t="str">
        <f>IF($B36=0,"",SUMIFS(INPUT_DATA!AO:AO,INPUT_DATA!$A:$A,$B36,INPUT_DATA!$C:$C,"D"))</f>
        <v/>
      </c>
      <c r="CP36" s="153" t="str">
        <f>IF($B36=0,"",SUMIFS(INPUT_DATA!AP:AP,INPUT_DATA!$A:$A,$B36,INPUT_DATA!$C:$C,"D"))</f>
        <v/>
      </c>
      <c r="CQ36" s="153" t="str">
        <f>IF($B36=0,"",SUMIFS(INPUT_DATA!AQ:AQ,INPUT_DATA!$A:$A,$B36,INPUT_DATA!$C:$C,"D"))</f>
        <v/>
      </c>
      <c r="CR36" s="737" t="str">
        <f t="shared" si="32"/>
        <v/>
      </c>
      <c r="CS36" s="737" t="str">
        <f t="shared" si="33"/>
        <v/>
      </c>
      <c r="CT36" s="737" t="str">
        <f t="shared" si="34"/>
        <v/>
      </c>
      <c r="CU36" s="726" t="str">
        <f>IF($B36=0,"",SUMIFS(INPUT_DATA!AR:AR,INPUT_DATA!$A:$A,$B36,INPUT_DATA!$C:$C,"D"))</f>
        <v/>
      </c>
      <c r="CV36" s="726" t="str">
        <f>IF($B36=0,"",SUMIFS(INPUT_DATA!AS:AS,INPUT_DATA!$A:$A,$B36,INPUT_DATA!$C:$C,"D"))</f>
        <v/>
      </c>
      <c r="CW36" s="726" t="str">
        <f>IF($B36=0,"",SUMIFS(INPUT_DATA!AT:AT,INPUT_DATA!$A:$A,$B36,INPUT_DATA!$C:$C,"D"))</f>
        <v/>
      </c>
      <c r="CX36" s="726" t="str">
        <f t="shared" si="35"/>
        <v/>
      </c>
      <c r="CY36" s="737" t="str">
        <f t="shared" si="36"/>
        <v/>
      </c>
      <c r="CZ36" s="748" t="str">
        <f t="shared" si="37"/>
        <v/>
      </c>
      <c r="DA36" s="150"/>
    </row>
    <row r="37" spans="1:105" x14ac:dyDescent="0.2">
      <c r="B37" s="720">
        <f>INPUT_DATA!BQ24</f>
        <v>0</v>
      </c>
      <c r="C37" s="725" t="str">
        <f>IF($B37=0,"",SUMIFS(INPUT_DATA!D:D,INPUT_DATA!$A:$A,$B37,INPUT_DATA!$C:$C,"S"))</f>
        <v/>
      </c>
      <c r="D37" s="726" t="str">
        <f>IF($B37=0,"",SUMIFS(INPUT_DATA!E:E,INPUT_DATA!$A:$A,$B37,INPUT_DATA!$C:$C,"S"))</f>
        <v/>
      </c>
      <c r="E37" s="727" t="str">
        <f>IF($B37=0,"",SUMIFS(INPUT_DATA!F:F,INPUT_DATA!$A:$A,$B37,INPUT_DATA!$C:$C,"S"))</f>
        <v/>
      </c>
      <c r="F37" s="727" t="str">
        <f>IF($B37=0,"",SUMIFS(INPUT_DATA!G:G,INPUT_DATA!$A:$A,$B37,INPUT_DATA!$C:$C,"S"))</f>
        <v/>
      </c>
      <c r="G37" s="727" t="str">
        <f>IF($B37=0,"",SUMIFS(INPUT_DATA!H:H,INPUT_DATA!$A:$A,$B37,INPUT_DATA!$C:$C,"S"))</f>
        <v/>
      </c>
      <c r="H37" s="727" t="str">
        <f>IF($B37=0,"",SUMIFS(INPUT_DATA!I:I,INPUT_DATA!$A:$A,$B37,INPUT_DATA!$C:$C,"S"))</f>
        <v/>
      </c>
      <c r="I37" s="727" t="str">
        <f>IF($B37=0,"",SUMIFS(INPUT_DATA!J:J,INPUT_DATA!$A:$A,$B37,INPUT_DATA!$C:$C,"S"))</f>
        <v/>
      </c>
      <c r="J37" s="727" t="str">
        <f>IF($B37=0,"",SUMIFS(INPUT_DATA!K:K,INPUT_DATA!$A:$A,$B37,INPUT_DATA!$C:$C,"S"))</f>
        <v/>
      </c>
      <c r="K37" s="727" t="str">
        <f>IF($B37=0,"",SUMIFS(INPUT_DATA!L:L,INPUT_DATA!$A:$A,$B37,INPUT_DATA!$C:$C,"S"))</f>
        <v/>
      </c>
      <c r="L37" s="727" t="str">
        <f>IF($B37=0,"",SUMIFS(INPUT_DATA!M:M,INPUT_DATA!$A:$A,$B37,INPUT_DATA!$C:$C,"S"))</f>
        <v/>
      </c>
      <c r="M37" s="727" t="str">
        <f>IF($B37=0,"",SUMIFS(INPUT_DATA!N:N,INPUT_DATA!$A:$A,$B37,INPUT_DATA!$C:$C,"S"))</f>
        <v/>
      </c>
      <c r="N37" s="727" t="str">
        <f>IF($B37=0,"",SUMIFS(INPUT_DATA!O:O,INPUT_DATA!$A:$A,$B37,INPUT_DATA!$C:$C,"S"))</f>
        <v/>
      </c>
      <c r="O37" s="728" t="str">
        <f t="shared" si="38"/>
        <v/>
      </c>
      <c r="P37" s="729" t="str">
        <f>IF($B37=0,"",SUMIFS(INPUT_DATA!P:P,INPUT_DATA!$A:$A,$B37,INPUT_DATA!$C:$C,"S"))</f>
        <v/>
      </c>
      <c r="Q37" s="729" t="str">
        <f t="shared" si="39"/>
        <v/>
      </c>
      <c r="R37" s="735" t="str">
        <f>IF($B37=0,"",SUMIFS(INPUT_DATA!Q:Q,INPUT_DATA!$A:$A,$B37,INPUT_DATA!$C:$C,"S"))</f>
        <v/>
      </c>
      <c r="S37" s="735" t="str">
        <f>IF($B37=0,"",SUMIFS(INPUT_DATA!R:R,INPUT_DATA!$A:$A,$B37,INPUT_DATA!$C:$C,"S"))</f>
        <v/>
      </c>
      <c r="T37" s="735" t="str">
        <f>IF($B37=0,"",SUMIFS(INPUT_DATA!S:S,INPUT_DATA!$A:$A,$B37,INPUT_DATA!$C:$C,"S"))</f>
        <v/>
      </c>
      <c r="U37" s="312" t="str">
        <f>IF($B37=0,"",SUMIFS(INPUT_DATA!T:T,INPUT_DATA!$A:$A,$B37,INPUT_DATA!$C:$C,"S"))</f>
        <v/>
      </c>
      <c r="V37" s="312" t="str">
        <f>IF($B37=0,"",SUMIFS(INPUT_DATA!U:U,INPUT_DATA!$A:$A,$B37,INPUT_DATA!$C:$C,"S"))</f>
        <v/>
      </c>
      <c r="W37" s="312" t="str">
        <f>IF($B37=0,"",SUMIFS(INPUT_DATA!V:V,INPUT_DATA!$A:$A,$B37,INPUT_DATA!$C:$C,"S"))</f>
        <v/>
      </c>
      <c r="X37" s="312" t="str">
        <f>IF($B37=0,"",SUMIFS(INPUT_DATA!W:W,INPUT_DATA!$A:$A,$B37,INPUT_DATA!$C:$C,"S"))</f>
        <v/>
      </c>
      <c r="Y37" s="312" t="str">
        <f>IF($B37=0,"",SUMIFS(INPUT_DATA!X:X,INPUT_DATA!$A:$A,$B37,INPUT_DATA!$C:$C,"S"))</f>
        <v/>
      </c>
      <c r="Z37" s="312" t="str">
        <f>IF($B37=0,"",SUMIFS(INPUT_DATA!Y:Y,INPUT_DATA!$A:$A,$B37,INPUT_DATA!$C:$C,"S"))</f>
        <v/>
      </c>
      <c r="AA37" s="312" t="str">
        <f>IF($B37=0,"",SUMIFS(INPUT_DATA!Z:Z,INPUT_DATA!$A:$A,$B37,INPUT_DATA!$C:$C,"S"))</f>
        <v/>
      </c>
      <c r="AB37" s="312" t="str">
        <f>IF($B37=0,"",SUMIFS(INPUT_DATA!AA:AA,INPUT_DATA!$A:$A,$B37,INPUT_DATA!$C:$C,"S"))</f>
        <v/>
      </c>
      <c r="AC37" s="312" t="str">
        <f>IF($B37=0,"",SUMIFS(INPUT_DATA!AB:AB,INPUT_DATA!$A:$A,$B37,INPUT_DATA!$C:$C,"S"))</f>
        <v/>
      </c>
      <c r="AD37" s="312" t="str">
        <f>IF($B37=0,"",SUMIFS(INPUT_DATA!AC:AC,INPUT_DATA!$A:$A,$B37,INPUT_DATA!$C:$C,"S"))</f>
        <v/>
      </c>
      <c r="AE37" s="312" t="str">
        <f>IF($B37=0,"",SUMIFS(INPUT_DATA!AD:AD,INPUT_DATA!$A:$A,$B37,INPUT_DATA!$C:$C,"S"))</f>
        <v/>
      </c>
      <c r="AF37" s="312" t="str">
        <f>IF($B37=0,"",SUMIFS(INPUT_DATA!AE:AE,INPUT_DATA!$A:$A,$B37,INPUT_DATA!$C:$C,"S"))</f>
        <v/>
      </c>
      <c r="AG37" s="312" t="str">
        <f>IF($B37=0,"",SUMIFS(INPUT_DATA!AF:AF,INPUT_DATA!$A:$A,$B37,INPUT_DATA!$C:$C,"S"))</f>
        <v/>
      </c>
      <c r="AH37" s="312" t="str">
        <f>IF($B37=0,"",SUMIFS(INPUT_DATA!AG:AG,INPUT_DATA!$A:$A,$B37,INPUT_DATA!$C:$C,"S"))</f>
        <v/>
      </c>
      <c r="AI37" s="312" t="str">
        <f>IF($B37=0,"",SUMIFS(INPUT_DATA!AH:AH,INPUT_DATA!$A:$A,$B37,INPUT_DATA!$C:$C,"S"))</f>
        <v/>
      </c>
      <c r="AJ37" s="312" t="str">
        <f>IF($B37=0,"",SUMIFS(INPUT_DATA!AI:AI,INPUT_DATA!$A:$A,$B37,INPUT_DATA!$C:$C,"S"))</f>
        <v/>
      </c>
      <c r="AK37" s="312" t="str">
        <f>IF($B37=0,"",SUMIFS(INPUT_DATA!AJ:AJ,INPUT_DATA!$A:$A,$B37,INPUT_DATA!$C:$C,"S"))</f>
        <v/>
      </c>
      <c r="AL37" s="312" t="str">
        <f>IF($B37=0,"",SUMIFS(INPUT_DATA!AK:AK,INPUT_DATA!$A:$A,$B37,INPUT_DATA!$C:$C,"S"))</f>
        <v/>
      </c>
      <c r="AM37" s="312" t="str">
        <f>IF($B37=0,"",SUMIFS(INPUT_DATA!AL:AL,INPUT_DATA!$A:$A,$B37,INPUT_DATA!$C:$C,"S"))</f>
        <v/>
      </c>
      <c r="AN37" s="312" t="str">
        <f>IF($B37=0,"",SUMIFS(INPUT_DATA!AM:AM,INPUT_DATA!$A:$A,$B37,INPUT_DATA!$C:$C,"S"))</f>
        <v/>
      </c>
      <c r="AO37" s="312" t="str">
        <f>IF($B37=0,"",SUMIFS(INPUT_DATA!AN:AN,INPUT_DATA!$A:$A,$B37,INPUT_DATA!$C:$C,"S"))</f>
        <v/>
      </c>
      <c r="AP37" s="312" t="str">
        <f>IF($B37=0,"",SUMIFS(INPUT_DATA!AO:AO,INPUT_DATA!$A:$A,$B37,INPUT_DATA!$C:$C,"S"))</f>
        <v/>
      </c>
      <c r="AQ37" s="312" t="str">
        <f>IF($B37=0,"",SUMIFS(INPUT_DATA!AP:AP,INPUT_DATA!$A:$A,$B37,INPUT_DATA!$C:$C,"S"))</f>
        <v/>
      </c>
      <c r="AR37" s="312" t="str">
        <f>IF($B37=0,"",SUMIFS(INPUT_DATA!AQ:AQ,INPUT_DATA!$A:$A,$B37,INPUT_DATA!$C:$C,"S"))</f>
        <v/>
      </c>
      <c r="AS37" s="736" t="str">
        <f t="shared" si="29"/>
        <v/>
      </c>
      <c r="AT37" s="737" t="str">
        <f t="shared" si="30"/>
        <v/>
      </c>
      <c r="AU37" s="738" t="str">
        <f t="shared" si="31"/>
        <v/>
      </c>
      <c r="AV37" s="736" t="str">
        <f>IF($B37=0,"",SUMIFS(INPUT_DATA!AR:AR,INPUT_DATA!$A:$A,$B37,INPUT_DATA!$C:$C,"S"))</f>
        <v/>
      </c>
      <c r="AW37" s="737" t="str">
        <f>IF($B37=0,"",SUMIFS(INPUT_DATA!AS:AS,INPUT_DATA!$A:$A,$B37,INPUT_DATA!$C:$C,"S"))</f>
        <v/>
      </c>
      <c r="AX37" s="738" t="str">
        <f>IF($B37=0,"",SUMIFS(INPUT_DATA!AT:AT,INPUT_DATA!$A:$A,$B37,INPUT_DATA!$C:$C,"S"))</f>
        <v/>
      </c>
      <c r="AY37" s="736" t="str">
        <f t="shared" si="15"/>
        <v/>
      </c>
      <c r="AZ37" s="737" t="str">
        <f t="shared" si="16"/>
        <v/>
      </c>
      <c r="BA37" s="738" t="str">
        <f t="shared" si="17"/>
        <v/>
      </c>
      <c r="BB37" s="150"/>
      <c r="BC37" s="725" t="str">
        <f>IF($B37=0,"",SUMIFS(INPUT_DATA!D:D,INPUT_DATA!$A:$A,$B37,INPUT_DATA!$C:$C,"D"))</f>
        <v/>
      </c>
      <c r="BD37" s="311" t="str">
        <f>IF($B37=0,"",SUMIFS(INPUT_DATA!F:F,INPUT_DATA!$A:$A,$B37,INPUT_DATA!$C:$C,"D"))</f>
        <v/>
      </c>
      <c r="BE37" s="311" t="str">
        <f>IF($B37=0,"",SUMIFS(INPUT_DATA!G:G,INPUT_DATA!$A:$A,$B37,INPUT_DATA!$C:$C,"D"))</f>
        <v/>
      </c>
      <c r="BF37" s="311" t="str">
        <f>IF($B37=0,"",SUMIFS(INPUT_DATA!H:H,INPUT_DATA!$A:$A,$B37,INPUT_DATA!$C:$C,"D"))</f>
        <v/>
      </c>
      <c r="BG37" s="311" t="str">
        <f>IF($B37=0,"",SUMIFS(INPUT_DATA!I:I,INPUT_DATA!$A:$A,$B37,INPUT_DATA!$C:$C,"D"))</f>
        <v/>
      </c>
      <c r="BH37" s="311" t="str">
        <f>IF($B37=0,"",SUMIFS(INPUT_DATA!J:J,INPUT_DATA!$A:$A,$B37,INPUT_DATA!$C:$C,"D"))</f>
        <v/>
      </c>
      <c r="BI37" s="311" t="str">
        <f>IF($B37=0,"",SUMIFS(INPUT_DATA!K:K,INPUT_DATA!$A:$A,$B37,INPUT_DATA!$C:$C,"D"))</f>
        <v/>
      </c>
      <c r="BJ37" s="311" t="str">
        <f>IF($B37=0,"",SUMIFS(INPUT_DATA!L:L,INPUT_DATA!$A:$A,$B37,INPUT_DATA!$C:$C,"D"))</f>
        <v/>
      </c>
      <c r="BK37" s="311" t="str">
        <f>IF($B37=0,"",SUMIFS(INPUT_DATA!M:M,INPUT_DATA!$A:$A,$B37,INPUT_DATA!$C:$C,"D"))</f>
        <v/>
      </c>
      <c r="BL37" s="311" t="str">
        <f>IF($B37=0,"",SUMIFS(INPUT_DATA!N:N,INPUT_DATA!$A:$A,$B37,INPUT_DATA!$C:$C,"D"))</f>
        <v/>
      </c>
      <c r="BM37" s="311" t="str">
        <f>IF($B37=0,"",SUMIFS(INPUT_DATA!O:O,INPUT_DATA!$A:$A,$B37,INPUT_DATA!$C:$C,"D"))</f>
        <v/>
      </c>
      <c r="BN37" s="741" t="str">
        <f t="shared" si="18"/>
        <v/>
      </c>
      <c r="BO37" s="741" t="str">
        <f>IF($B37=0,"",SUMIFS(INPUT_DATA!O:O,INPUT_DATA!$A:$A,$B37,INPUT_DATA!$C:$C,"D"))</f>
        <v/>
      </c>
      <c r="BP37" s="741" t="str">
        <f t="shared" si="19"/>
        <v/>
      </c>
      <c r="BQ37" s="725" t="str">
        <f>IF($B37=0,"",SUMIFS(INPUT_DATA!Q:Q,INPUT_DATA!$A:$A,$B37,INPUT_DATA!$C:$C,"D"))</f>
        <v/>
      </c>
      <c r="BR37" s="747" t="str">
        <f>IF($B37=0,"",SUMIFS(INPUT_DATA!R:R,INPUT_DATA!$A:$A,$B37,INPUT_DATA!$C:$C,"D"))</f>
        <v/>
      </c>
      <c r="BS37" s="747" t="str">
        <f>IF($B37=0,"",SUMIFS(INPUT_DATA!S:S,INPUT_DATA!$A:$A,$B37,INPUT_DATA!$C:$C,"D"))</f>
        <v/>
      </c>
      <c r="BT37" s="311" t="str">
        <f>IF($B37=0,"",SUMIFS(INPUT_DATA!T:T,INPUT_DATA!$A:$A,$B37,INPUT_DATA!$C:$C,"D"))</f>
        <v/>
      </c>
      <c r="BU37" s="311" t="str">
        <f>IF($B37=0,"",SUMIFS(INPUT_DATA!U:U,INPUT_DATA!$A:$A,$B37,INPUT_DATA!$C:$C,"D"))</f>
        <v/>
      </c>
      <c r="BV37" s="311" t="str">
        <f>IF($B37=0,"",SUMIFS(INPUT_DATA!V:V,INPUT_DATA!$A:$A,$B37,INPUT_DATA!$C:$C,"D"))</f>
        <v/>
      </c>
      <c r="BW37" s="311" t="str">
        <f>IF($B37=0,"",SUMIFS(INPUT_DATA!W:W,INPUT_DATA!$A:$A,$B37,INPUT_DATA!$C:$C,"D"))</f>
        <v/>
      </c>
      <c r="BX37" s="311" t="str">
        <f>IF($B37=0,"",SUMIFS(INPUT_DATA!X:X,INPUT_DATA!$A:$A,$B37,INPUT_DATA!$C:$C,"D"))</f>
        <v/>
      </c>
      <c r="BY37" s="311" t="str">
        <f>IF($B37=0,"",SUMIFS(INPUT_DATA!Y:Y,INPUT_DATA!$A:$A,$B37,INPUT_DATA!$C:$C,"D"))</f>
        <v/>
      </c>
      <c r="BZ37" s="352" t="str">
        <f>IF($B37=0,"",SUMIFS(INPUT_DATA!Z:Z,INPUT_DATA!$A:$A,$B37,INPUT_DATA!$C:$C,"D"))</f>
        <v/>
      </c>
      <c r="CA37" s="352" t="str">
        <f>IF($B37=0,"",SUMIFS(INPUT_DATA!AA:AA,INPUT_DATA!$A:$A,$B37,INPUT_DATA!$C:$C,"D"))</f>
        <v/>
      </c>
      <c r="CB37" s="352" t="str">
        <f>IF($B37=0,"",SUMIFS(INPUT_DATA!AB:AB,INPUT_DATA!$A:$A,$B37,INPUT_DATA!$C:$C,"D"))</f>
        <v/>
      </c>
      <c r="CC37" s="311" t="str">
        <f>IF($B37=0,"",SUMIFS(INPUT_DATA!AC:AC,INPUT_DATA!$A:$A,$B37,INPUT_DATA!$C:$C,"D"))</f>
        <v/>
      </c>
      <c r="CD37" s="311" t="str">
        <f>IF($B37=0,"",SUMIFS(INPUT_DATA!AD:AD,INPUT_DATA!$A:$A,$B37,INPUT_DATA!$C:$C,"D"))</f>
        <v/>
      </c>
      <c r="CE37" s="311" t="str">
        <f>IF($B37=0,"",SUMIFS(INPUT_DATA!AE:AE,INPUT_DATA!$A:$A,$B37,INPUT_DATA!$C:$C,"D"))</f>
        <v/>
      </c>
      <c r="CF37" s="352" t="str">
        <f>IF($B37=0,"",SUMIFS(INPUT_DATA!AF:AF,INPUT_DATA!$A:$A,$B37,INPUT_DATA!$C:$C,"D"))</f>
        <v/>
      </c>
      <c r="CG37" s="352" t="str">
        <f>IF($B37=0,"",SUMIFS(INPUT_DATA!AG:AG,INPUT_DATA!$A:$A,$B37,INPUT_DATA!$C:$C,"D"))</f>
        <v/>
      </c>
      <c r="CH37" s="352" t="str">
        <f>IF($B37=0,"",SUMIFS(INPUT_DATA!AH:AH,INPUT_DATA!$A:$A,$B37,INPUT_DATA!$C:$C,"D"))</f>
        <v/>
      </c>
      <c r="CI37" s="153" t="str">
        <f>IF($B37=0,"",SUMIFS(INPUT_DATA!AI:AI,INPUT_DATA!$A:$A,$B37,INPUT_DATA!$C:$C,"D"))</f>
        <v/>
      </c>
      <c r="CJ37" s="153" t="str">
        <f>IF($B37=0,"",SUMIFS(INPUT_DATA!AJ:AJ,INPUT_DATA!$A:$A,$B37,INPUT_DATA!$C:$C,"D"))</f>
        <v/>
      </c>
      <c r="CK37" s="153" t="str">
        <f>IF($B37=0,"",SUMIFS(INPUT_DATA!AK:AK,INPUT_DATA!$A:$A,$B37,INPUT_DATA!$C:$C,"D"))</f>
        <v/>
      </c>
      <c r="CL37" s="153" t="str">
        <f>IF($B37=0,"",SUMIFS(INPUT_DATA!AL:AL,INPUT_DATA!$A:$A,$B37,INPUT_DATA!$C:$C,"D"))</f>
        <v/>
      </c>
      <c r="CM37" s="153" t="str">
        <f>IF($B37=0,"",SUMIFS(INPUT_DATA!AM:AM,INPUT_DATA!$A:$A,$B37,INPUT_DATA!$C:$C,"D"))</f>
        <v/>
      </c>
      <c r="CN37" s="153" t="str">
        <f>IF($B37=0,"",SUMIFS(INPUT_DATA!AN:AN,INPUT_DATA!$A:$A,$B37,INPUT_DATA!$C:$C,"D"))</f>
        <v/>
      </c>
      <c r="CO37" s="153" t="str">
        <f>IF($B37=0,"",SUMIFS(INPUT_DATA!AO:AO,INPUT_DATA!$A:$A,$B37,INPUT_DATA!$C:$C,"D"))</f>
        <v/>
      </c>
      <c r="CP37" s="153" t="str">
        <f>IF($B37=0,"",SUMIFS(INPUT_DATA!AP:AP,INPUT_DATA!$A:$A,$B37,INPUT_DATA!$C:$C,"D"))</f>
        <v/>
      </c>
      <c r="CQ37" s="153" t="str">
        <f>IF($B37=0,"",SUMIFS(INPUT_DATA!AQ:AQ,INPUT_DATA!$A:$A,$B37,INPUT_DATA!$C:$C,"D"))</f>
        <v/>
      </c>
      <c r="CR37" s="737" t="str">
        <f t="shared" si="32"/>
        <v/>
      </c>
      <c r="CS37" s="737" t="str">
        <f t="shared" si="33"/>
        <v/>
      </c>
      <c r="CT37" s="737" t="str">
        <f t="shared" si="34"/>
        <v/>
      </c>
      <c r="CU37" s="726" t="str">
        <f>IF($B37=0,"",SUMIFS(INPUT_DATA!AR:AR,INPUT_DATA!$A:$A,$B37,INPUT_DATA!$C:$C,"D"))</f>
        <v/>
      </c>
      <c r="CV37" s="726" t="str">
        <f>IF($B37=0,"",SUMIFS(INPUT_DATA!AS:AS,INPUT_DATA!$A:$A,$B37,INPUT_DATA!$C:$C,"D"))</f>
        <v/>
      </c>
      <c r="CW37" s="726" t="str">
        <f>IF($B37=0,"",SUMIFS(INPUT_DATA!AT:AT,INPUT_DATA!$A:$A,$B37,INPUT_DATA!$C:$C,"D"))</f>
        <v/>
      </c>
      <c r="CX37" s="726" t="str">
        <f t="shared" si="35"/>
        <v/>
      </c>
      <c r="CY37" s="737" t="str">
        <f t="shared" si="36"/>
        <v/>
      </c>
      <c r="CZ37" s="748" t="str">
        <f t="shared" si="37"/>
        <v/>
      </c>
      <c r="DA37" s="150"/>
    </row>
    <row r="38" spans="1:105" x14ac:dyDescent="0.2">
      <c r="B38" s="720">
        <f>INPUT_DATA!BQ25</f>
        <v>0</v>
      </c>
      <c r="C38" s="725" t="str">
        <f>IF($B38=0,"",SUMIFS(INPUT_DATA!D:D,INPUT_DATA!$A:$A,$B38,INPUT_DATA!$C:$C,"S"))</f>
        <v/>
      </c>
      <c r="D38" s="726" t="str">
        <f>IF($B38=0,"",SUMIFS(INPUT_DATA!E:E,INPUT_DATA!$A:$A,$B38,INPUT_DATA!$C:$C,"S"))</f>
        <v/>
      </c>
      <c r="E38" s="727" t="str">
        <f>IF($B38=0,"",SUMIFS(INPUT_DATA!F:F,INPUT_DATA!$A:$A,$B38,INPUT_DATA!$C:$C,"S"))</f>
        <v/>
      </c>
      <c r="F38" s="727" t="str">
        <f>IF($B38=0,"",SUMIFS(INPUT_DATA!G:G,INPUT_DATA!$A:$A,$B38,INPUT_DATA!$C:$C,"S"))</f>
        <v/>
      </c>
      <c r="G38" s="727" t="str">
        <f>IF($B38=0,"",SUMIFS(INPUT_DATA!H:H,INPUT_DATA!$A:$A,$B38,INPUT_DATA!$C:$C,"S"))</f>
        <v/>
      </c>
      <c r="H38" s="727" t="str">
        <f>IF($B38=0,"",SUMIFS(INPUT_DATA!I:I,INPUT_DATA!$A:$A,$B38,INPUT_DATA!$C:$C,"S"))</f>
        <v/>
      </c>
      <c r="I38" s="727" t="str">
        <f>IF($B38=0,"",SUMIFS(INPUT_DATA!J:J,INPUT_DATA!$A:$A,$B38,INPUT_DATA!$C:$C,"S"))</f>
        <v/>
      </c>
      <c r="J38" s="727" t="str">
        <f>IF($B38=0,"",SUMIFS(INPUT_DATA!K:K,INPUT_DATA!$A:$A,$B38,INPUT_DATA!$C:$C,"S"))</f>
        <v/>
      </c>
      <c r="K38" s="727" t="str">
        <f>IF($B38=0,"",SUMIFS(INPUT_DATA!L:L,INPUT_DATA!$A:$A,$B38,INPUT_DATA!$C:$C,"S"))</f>
        <v/>
      </c>
      <c r="L38" s="727" t="str">
        <f>IF($B38=0,"",SUMIFS(INPUT_DATA!M:M,INPUT_DATA!$A:$A,$B38,INPUT_DATA!$C:$C,"S"))</f>
        <v/>
      </c>
      <c r="M38" s="727" t="str">
        <f>IF($B38=0,"",SUMIFS(INPUT_DATA!N:N,INPUT_DATA!$A:$A,$B38,INPUT_DATA!$C:$C,"S"))</f>
        <v/>
      </c>
      <c r="N38" s="727" t="str">
        <f>IF($B38=0,"",SUMIFS(INPUT_DATA!O:O,INPUT_DATA!$A:$A,$B38,INPUT_DATA!$C:$C,"S"))</f>
        <v/>
      </c>
      <c r="O38" s="728" t="str">
        <f t="shared" si="38"/>
        <v/>
      </c>
      <c r="P38" s="729" t="str">
        <f>IF($B38=0,"",SUMIFS(INPUT_DATA!P:P,INPUT_DATA!$A:$A,$B38,INPUT_DATA!$C:$C,"S"))</f>
        <v/>
      </c>
      <c r="Q38" s="729" t="str">
        <f t="shared" si="39"/>
        <v/>
      </c>
      <c r="R38" s="735" t="str">
        <f>IF($B38=0,"",SUMIFS(INPUT_DATA!Q:Q,INPUT_DATA!$A:$A,$B38,INPUT_DATA!$C:$C,"S"))</f>
        <v/>
      </c>
      <c r="S38" s="735" t="str">
        <f>IF($B38=0,"",SUMIFS(INPUT_DATA!R:R,INPUT_DATA!$A:$A,$B38,INPUT_DATA!$C:$C,"S"))</f>
        <v/>
      </c>
      <c r="T38" s="735" t="str">
        <f>IF($B38=0,"",SUMIFS(INPUT_DATA!S:S,INPUT_DATA!$A:$A,$B38,INPUT_DATA!$C:$C,"S"))</f>
        <v/>
      </c>
      <c r="U38" s="312" t="str">
        <f>IF($B38=0,"",SUMIFS(INPUT_DATA!T:T,INPUT_DATA!$A:$A,$B38,INPUT_DATA!$C:$C,"S"))</f>
        <v/>
      </c>
      <c r="V38" s="312" t="str">
        <f>IF($B38=0,"",SUMIFS(INPUT_DATA!U:U,INPUT_DATA!$A:$A,$B38,INPUT_DATA!$C:$C,"S"))</f>
        <v/>
      </c>
      <c r="W38" s="312" t="str">
        <f>IF($B38=0,"",SUMIFS(INPUT_DATA!V:V,INPUT_DATA!$A:$A,$B38,INPUT_DATA!$C:$C,"S"))</f>
        <v/>
      </c>
      <c r="X38" s="312" t="str">
        <f>IF($B38=0,"",SUMIFS(INPUT_DATA!W:W,INPUT_DATA!$A:$A,$B38,INPUT_DATA!$C:$C,"S"))</f>
        <v/>
      </c>
      <c r="Y38" s="312" t="str">
        <f>IF($B38=0,"",SUMIFS(INPUT_DATA!X:X,INPUT_DATA!$A:$A,$B38,INPUT_DATA!$C:$C,"S"))</f>
        <v/>
      </c>
      <c r="Z38" s="312" t="str">
        <f>IF($B38=0,"",SUMIFS(INPUT_DATA!Y:Y,INPUT_DATA!$A:$A,$B38,INPUT_DATA!$C:$C,"S"))</f>
        <v/>
      </c>
      <c r="AA38" s="312" t="str">
        <f>IF($B38=0,"",SUMIFS(INPUT_DATA!Z:Z,INPUT_DATA!$A:$A,$B38,INPUT_DATA!$C:$C,"S"))</f>
        <v/>
      </c>
      <c r="AB38" s="312" t="str">
        <f>IF($B38=0,"",SUMIFS(INPUT_DATA!AA:AA,INPUT_DATA!$A:$A,$B38,INPUT_DATA!$C:$C,"S"))</f>
        <v/>
      </c>
      <c r="AC38" s="312" t="str">
        <f>IF($B38=0,"",SUMIFS(INPUT_DATA!AB:AB,INPUT_DATA!$A:$A,$B38,INPUT_DATA!$C:$C,"S"))</f>
        <v/>
      </c>
      <c r="AD38" s="312" t="str">
        <f>IF($B38=0,"",SUMIFS(INPUT_DATA!AC:AC,INPUT_DATA!$A:$A,$B38,INPUT_DATA!$C:$C,"S"))</f>
        <v/>
      </c>
      <c r="AE38" s="312" t="str">
        <f>IF($B38=0,"",SUMIFS(INPUT_DATA!AD:AD,INPUT_DATA!$A:$A,$B38,INPUT_DATA!$C:$C,"S"))</f>
        <v/>
      </c>
      <c r="AF38" s="312" t="str">
        <f>IF($B38=0,"",SUMIFS(INPUT_DATA!AE:AE,INPUT_DATA!$A:$A,$B38,INPUT_DATA!$C:$C,"S"))</f>
        <v/>
      </c>
      <c r="AG38" s="312" t="str">
        <f>IF($B38=0,"",SUMIFS(INPUT_DATA!AF:AF,INPUT_DATA!$A:$A,$B38,INPUT_DATA!$C:$C,"S"))</f>
        <v/>
      </c>
      <c r="AH38" s="312" t="str">
        <f>IF($B38=0,"",SUMIFS(INPUT_DATA!AG:AG,INPUT_DATA!$A:$A,$B38,INPUT_DATA!$C:$C,"S"))</f>
        <v/>
      </c>
      <c r="AI38" s="312" t="str">
        <f>IF($B38=0,"",SUMIFS(INPUT_DATA!AH:AH,INPUT_DATA!$A:$A,$B38,INPUT_DATA!$C:$C,"S"))</f>
        <v/>
      </c>
      <c r="AJ38" s="312" t="str">
        <f>IF($B38=0,"",SUMIFS(INPUT_DATA!AI:AI,INPUT_DATA!$A:$A,$B38,INPUT_DATA!$C:$C,"S"))</f>
        <v/>
      </c>
      <c r="AK38" s="312" t="str">
        <f>IF($B38=0,"",SUMIFS(INPUT_DATA!AJ:AJ,INPUT_DATA!$A:$A,$B38,INPUT_DATA!$C:$C,"S"))</f>
        <v/>
      </c>
      <c r="AL38" s="312" t="str">
        <f>IF($B38=0,"",SUMIFS(INPUT_DATA!AK:AK,INPUT_DATA!$A:$A,$B38,INPUT_DATA!$C:$C,"S"))</f>
        <v/>
      </c>
      <c r="AM38" s="312" t="str">
        <f>IF($B38=0,"",SUMIFS(INPUT_DATA!AL:AL,INPUT_DATA!$A:$A,$B38,INPUT_DATA!$C:$C,"S"))</f>
        <v/>
      </c>
      <c r="AN38" s="312" t="str">
        <f>IF($B38=0,"",SUMIFS(INPUT_DATA!AM:AM,INPUT_DATA!$A:$A,$B38,INPUT_DATA!$C:$C,"S"))</f>
        <v/>
      </c>
      <c r="AO38" s="312" t="str">
        <f>IF($B38=0,"",SUMIFS(INPUT_DATA!AN:AN,INPUT_DATA!$A:$A,$B38,INPUT_DATA!$C:$C,"S"))</f>
        <v/>
      </c>
      <c r="AP38" s="312" t="str">
        <f>IF($B38=0,"",SUMIFS(INPUT_DATA!AO:AO,INPUT_DATA!$A:$A,$B38,INPUT_DATA!$C:$C,"S"))</f>
        <v/>
      </c>
      <c r="AQ38" s="312" t="str">
        <f>IF($B38=0,"",SUMIFS(INPUT_DATA!AP:AP,INPUT_DATA!$A:$A,$B38,INPUT_DATA!$C:$C,"S"))</f>
        <v/>
      </c>
      <c r="AR38" s="312" t="str">
        <f>IF($B38=0,"",SUMIFS(INPUT_DATA!AQ:AQ,INPUT_DATA!$A:$A,$B38,INPUT_DATA!$C:$C,"S"))</f>
        <v/>
      </c>
      <c r="AS38" s="736" t="str">
        <f t="shared" si="29"/>
        <v/>
      </c>
      <c r="AT38" s="737" t="str">
        <f t="shared" si="30"/>
        <v/>
      </c>
      <c r="AU38" s="738" t="str">
        <f t="shared" si="31"/>
        <v/>
      </c>
      <c r="AV38" s="736" t="str">
        <f>IF($B38=0,"",SUMIFS(INPUT_DATA!AR:AR,INPUT_DATA!$A:$A,$B38,INPUT_DATA!$C:$C,"S"))</f>
        <v/>
      </c>
      <c r="AW38" s="737" t="str">
        <f>IF($B38=0,"",SUMIFS(INPUT_DATA!AS:AS,INPUT_DATA!$A:$A,$B38,INPUT_DATA!$C:$C,"S"))</f>
        <v/>
      </c>
      <c r="AX38" s="738" t="str">
        <f>IF($B38=0,"",SUMIFS(INPUT_DATA!AT:AT,INPUT_DATA!$A:$A,$B38,INPUT_DATA!$C:$C,"S"))</f>
        <v/>
      </c>
      <c r="AY38" s="736" t="str">
        <f t="shared" si="15"/>
        <v/>
      </c>
      <c r="AZ38" s="737" t="str">
        <f t="shared" si="16"/>
        <v/>
      </c>
      <c r="BA38" s="738" t="str">
        <f t="shared" si="17"/>
        <v/>
      </c>
      <c r="BB38" s="150"/>
      <c r="BC38" s="725" t="str">
        <f>IF($B38=0,"",SUMIFS(INPUT_DATA!D:D,INPUT_DATA!$A:$A,$B38,INPUT_DATA!$C:$C,"D"))</f>
        <v/>
      </c>
      <c r="BD38" s="311" t="str">
        <f>IF($B38=0,"",SUMIFS(INPUT_DATA!F:F,INPUT_DATA!$A:$A,$B38,INPUT_DATA!$C:$C,"D"))</f>
        <v/>
      </c>
      <c r="BE38" s="311" t="str">
        <f>IF($B38=0,"",SUMIFS(INPUT_DATA!G:G,INPUT_DATA!$A:$A,$B38,INPUT_DATA!$C:$C,"D"))</f>
        <v/>
      </c>
      <c r="BF38" s="311" t="str">
        <f>IF($B38=0,"",SUMIFS(INPUT_DATA!H:H,INPUT_DATA!$A:$A,$B38,INPUT_DATA!$C:$C,"D"))</f>
        <v/>
      </c>
      <c r="BG38" s="311" t="str">
        <f>IF($B38=0,"",SUMIFS(INPUT_DATA!I:I,INPUT_DATA!$A:$A,$B38,INPUT_DATA!$C:$C,"D"))</f>
        <v/>
      </c>
      <c r="BH38" s="311" t="str">
        <f>IF($B38=0,"",SUMIFS(INPUT_DATA!J:J,INPUT_DATA!$A:$A,$B38,INPUT_DATA!$C:$C,"D"))</f>
        <v/>
      </c>
      <c r="BI38" s="311" t="str">
        <f>IF($B38=0,"",SUMIFS(INPUT_DATA!K:K,INPUT_DATA!$A:$A,$B38,INPUT_DATA!$C:$C,"D"))</f>
        <v/>
      </c>
      <c r="BJ38" s="311" t="str">
        <f>IF($B38=0,"",SUMIFS(INPUT_DATA!L:L,INPUT_DATA!$A:$A,$B38,INPUT_DATA!$C:$C,"D"))</f>
        <v/>
      </c>
      <c r="BK38" s="311" t="str">
        <f>IF($B38=0,"",SUMIFS(INPUT_DATA!M:M,INPUT_DATA!$A:$A,$B38,INPUT_DATA!$C:$C,"D"))</f>
        <v/>
      </c>
      <c r="BL38" s="311" t="str">
        <f>IF($B38=0,"",SUMIFS(INPUT_DATA!N:N,INPUT_DATA!$A:$A,$B38,INPUT_DATA!$C:$C,"D"))</f>
        <v/>
      </c>
      <c r="BM38" s="311" t="str">
        <f>IF($B38=0,"",SUMIFS(INPUT_DATA!O:O,INPUT_DATA!$A:$A,$B38,INPUT_DATA!$C:$C,"D"))</f>
        <v/>
      </c>
      <c r="BN38" s="741" t="str">
        <f t="shared" si="18"/>
        <v/>
      </c>
      <c r="BO38" s="741" t="str">
        <f>IF($B38=0,"",SUMIFS(INPUT_DATA!O:O,INPUT_DATA!$A:$A,$B38,INPUT_DATA!$C:$C,"D"))</f>
        <v/>
      </c>
      <c r="BP38" s="741" t="str">
        <f t="shared" si="19"/>
        <v/>
      </c>
      <c r="BQ38" s="725" t="str">
        <f>IF($B38=0,"",SUMIFS(INPUT_DATA!Q:Q,INPUT_DATA!$A:$A,$B38,INPUT_DATA!$C:$C,"D"))</f>
        <v/>
      </c>
      <c r="BR38" s="747" t="str">
        <f>IF($B38=0,"",SUMIFS(INPUT_DATA!R:R,INPUT_DATA!$A:$A,$B38,INPUT_DATA!$C:$C,"D"))</f>
        <v/>
      </c>
      <c r="BS38" s="747" t="str">
        <f>IF($B38=0,"",SUMIFS(INPUT_DATA!S:S,INPUT_DATA!$A:$A,$B38,INPUT_DATA!$C:$C,"D"))</f>
        <v/>
      </c>
      <c r="BT38" s="311" t="str">
        <f>IF($B38=0,"",SUMIFS(INPUT_DATA!T:T,INPUT_DATA!$A:$A,$B38,INPUT_DATA!$C:$C,"D"))</f>
        <v/>
      </c>
      <c r="BU38" s="311" t="str">
        <f>IF($B38=0,"",SUMIFS(INPUT_DATA!U:U,INPUT_DATA!$A:$A,$B38,INPUT_DATA!$C:$C,"D"))</f>
        <v/>
      </c>
      <c r="BV38" s="311" t="str">
        <f>IF($B38=0,"",SUMIFS(INPUT_DATA!V:V,INPUT_DATA!$A:$A,$B38,INPUT_DATA!$C:$C,"D"))</f>
        <v/>
      </c>
      <c r="BW38" s="311" t="str">
        <f>IF($B38=0,"",SUMIFS(INPUT_DATA!W:W,INPUT_DATA!$A:$A,$B38,INPUT_DATA!$C:$C,"D"))</f>
        <v/>
      </c>
      <c r="BX38" s="311" t="str">
        <f>IF($B38=0,"",SUMIFS(INPUT_DATA!X:X,INPUT_DATA!$A:$A,$B38,INPUT_DATA!$C:$C,"D"))</f>
        <v/>
      </c>
      <c r="BY38" s="311" t="str">
        <f>IF($B38=0,"",SUMIFS(INPUT_DATA!Y:Y,INPUT_DATA!$A:$A,$B38,INPUT_DATA!$C:$C,"D"))</f>
        <v/>
      </c>
      <c r="BZ38" s="352" t="str">
        <f>IF($B38=0,"",SUMIFS(INPUT_DATA!Z:Z,INPUT_DATA!$A:$A,$B38,INPUT_DATA!$C:$C,"D"))</f>
        <v/>
      </c>
      <c r="CA38" s="352" t="str">
        <f>IF($B38=0,"",SUMIFS(INPUT_DATA!AA:AA,INPUT_DATA!$A:$A,$B38,INPUT_DATA!$C:$C,"D"))</f>
        <v/>
      </c>
      <c r="CB38" s="352" t="str">
        <f>IF($B38=0,"",SUMIFS(INPUT_DATA!AB:AB,INPUT_DATA!$A:$A,$B38,INPUT_DATA!$C:$C,"D"))</f>
        <v/>
      </c>
      <c r="CC38" s="311" t="str">
        <f>IF($B38=0,"",SUMIFS(INPUT_DATA!AC:AC,INPUT_DATA!$A:$A,$B38,INPUT_DATA!$C:$C,"D"))</f>
        <v/>
      </c>
      <c r="CD38" s="311" t="str">
        <f>IF($B38=0,"",SUMIFS(INPUT_DATA!AD:AD,INPUT_DATA!$A:$A,$B38,INPUT_DATA!$C:$C,"D"))</f>
        <v/>
      </c>
      <c r="CE38" s="311" t="str">
        <f>IF($B38=0,"",SUMIFS(INPUT_DATA!AE:AE,INPUT_DATA!$A:$A,$B38,INPUT_DATA!$C:$C,"D"))</f>
        <v/>
      </c>
      <c r="CF38" s="352" t="str">
        <f>IF($B38=0,"",SUMIFS(INPUT_DATA!AF:AF,INPUT_DATA!$A:$A,$B38,INPUT_DATA!$C:$C,"D"))</f>
        <v/>
      </c>
      <c r="CG38" s="352" t="str">
        <f>IF($B38=0,"",SUMIFS(INPUT_DATA!AG:AG,INPUT_DATA!$A:$A,$B38,INPUT_DATA!$C:$C,"D"))</f>
        <v/>
      </c>
      <c r="CH38" s="352" t="str">
        <f>IF($B38=0,"",SUMIFS(INPUT_DATA!AH:AH,INPUT_DATA!$A:$A,$B38,INPUT_DATA!$C:$C,"D"))</f>
        <v/>
      </c>
      <c r="CI38" s="153" t="str">
        <f>IF($B38=0,"",SUMIFS(INPUT_DATA!AI:AI,INPUT_DATA!$A:$A,$B38,INPUT_DATA!$C:$C,"D"))</f>
        <v/>
      </c>
      <c r="CJ38" s="153" t="str">
        <f>IF($B38=0,"",SUMIFS(INPUT_DATA!AJ:AJ,INPUT_DATA!$A:$A,$B38,INPUT_DATA!$C:$C,"D"))</f>
        <v/>
      </c>
      <c r="CK38" s="153" t="str">
        <f>IF($B38=0,"",SUMIFS(INPUT_DATA!AK:AK,INPUT_DATA!$A:$A,$B38,INPUT_DATA!$C:$C,"D"))</f>
        <v/>
      </c>
      <c r="CL38" s="153" t="str">
        <f>IF($B38=0,"",SUMIFS(INPUT_DATA!AL:AL,INPUT_DATA!$A:$A,$B38,INPUT_DATA!$C:$C,"D"))</f>
        <v/>
      </c>
      <c r="CM38" s="153" t="str">
        <f>IF($B38=0,"",SUMIFS(INPUT_DATA!AM:AM,INPUT_DATA!$A:$A,$B38,INPUT_DATA!$C:$C,"D"))</f>
        <v/>
      </c>
      <c r="CN38" s="153" t="str">
        <f>IF($B38=0,"",SUMIFS(INPUT_DATA!AN:AN,INPUT_DATA!$A:$A,$B38,INPUT_DATA!$C:$C,"D"))</f>
        <v/>
      </c>
      <c r="CO38" s="153" t="str">
        <f>IF($B38=0,"",SUMIFS(INPUT_DATA!AO:AO,INPUT_DATA!$A:$A,$B38,INPUT_DATA!$C:$C,"D"))</f>
        <v/>
      </c>
      <c r="CP38" s="153" t="str">
        <f>IF($B38=0,"",SUMIFS(INPUT_DATA!AP:AP,INPUT_DATA!$A:$A,$B38,INPUT_DATA!$C:$C,"D"))</f>
        <v/>
      </c>
      <c r="CQ38" s="153" t="str">
        <f>IF($B38=0,"",SUMIFS(INPUT_DATA!AQ:AQ,INPUT_DATA!$A:$A,$B38,INPUT_DATA!$C:$C,"D"))</f>
        <v/>
      </c>
      <c r="CR38" s="737" t="str">
        <f t="shared" si="32"/>
        <v/>
      </c>
      <c r="CS38" s="737" t="str">
        <f t="shared" si="33"/>
        <v/>
      </c>
      <c r="CT38" s="737" t="str">
        <f t="shared" si="34"/>
        <v/>
      </c>
      <c r="CU38" s="726" t="str">
        <f>IF($B38=0,"",SUMIFS(INPUT_DATA!AR:AR,INPUT_DATA!$A:$A,$B38,INPUT_DATA!$C:$C,"D"))</f>
        <v/>
      </c>
      <c r="CV38" s="726" t="str">
        <f>IF($B38=0,"",SUMIFS(INPUT_DATA!AS:AS,INPUT_DATA!$A:$A,$B38,INPUT_DATA!$C:$C,"D"))</f>
        <v/>
      </c>
      <c r="CW38" s="726" t="str">
        <f>IF($B38=0,"",SUMIFS(INPUT_DATA!AT:AT,INPUT_DATA!$A:$A,$B38,INPUT_DATA!$C:$C,"D"))</f>
        <v/>
      </c>
      <c r="CX38" s="726" t="str">
        <f t="shared" si="35"/>
        <v/>
      </c>
      <c r="CY38" s="737" t="str">
        <f t="shared" si="36"/>
        <v/>
      </c>
      <c r="CZ38" s="748" t="str">
        <f t="shared" si="37"/>
        <v/>
      </c>
      <c r="DA38" s="150"/>
    </row>
    <row r="39" spans="1:105" x14ac:dyDescent="0.2">
      <c r="B39" s="720">
        <f>INPUT_DATA!BQ26</f>
        <v>0</v>
      </c>
      <c r="C39" s="725" t="str">
        <f>IF($B39=0,"",SUMIFS(INPUT_DATA!D:D,INPUT_DATA!$A:$A,$B39,INPUT_DATA!$C:$C,"S"))</f>
        <v/>
      </c>
      <c r="D39" s="726" t="str">
        <f>IF($B39=0,"",SUMIFS(INPUT_DATA!E:E,INPUT_DATA!$A:$A,$B39,INPUT_DATA!$C:$C,"S"))</f>
        <v/>
      </c>
      <c r="E39" s="727" t="str">
        <f>IF($B39=0,"",SUMIFS(INPUT_DATA!F:F,INPUT_DATA!$A:$A,$B39,INPUT_DATA!$C:$C,"S"))</f>
        <v/>
      </c>
      <c r="F39" s="727" t="str">
        <f>IF($B39=0,"",SUMIFS(INPUT_DATA!G:G,INPUT_DATA!$A:$A,$B39,INPUT_DATA!$C:$C,"S"))</f>
        <v/>
      </c>
      <c r="G39" s="727" t="str">
        <f>IF($B39=0,"",SUMIFS(INPUT_DATA!H:H,INPUT_DATA!$A:$A,$B39,INPUT_DATA!$C:$C,"S"))</f>
        <v/>
      </c>
      <c r="H39" s="727" t="str">
        <f>IF($B39=0,"",SUMIFS(INPUT_DATA!I:I,INPUT_DATA!$A:$A,$B39,INPUT_DATA!$C:$C,"S"))</f>
        <v/>
      </c>
      <c r="I39" s="727" t="str">
        <f>IF($B39=0,"",SUMIFS(INPUT_DATA!J:J,INPUT_DATA!$A:$A,$B39,INPUT_DATA!$C:$C,"S"))</f>
        <v/>
      </c>
      <c r="J39" s="727" t="str">
        <f>IF($B39=0,"",SUMIFS(INPUT_DATA!K:K,INPUT_DATA!$A:$A,$B39,INPUT_DATA!$C:$C,"S"))</f>
        <v/>
      </c>
      <c r="K39" s="727" t="str">
        <f>IF($B39=0,"",SUMIFS(INPUT_DATA!L:L,INPUT_DATA!$A:$A,$B39,INPUT_DATA!$C:$C,"S"))</f>
        <v/>
      </c>
      <c r="L39" s="727" t="str">
        <f>IF($B39=0,"",SUMIFS(INPUT_DATA!M:M,INPUT_DATA!$A:$A,$B39,INPUT_DATA!$C:$C,"S"))</f>
        <v/>
      </c>
      <c r="M39" s="727" t="str">
        <f>IF($B39=0,"",SUMIFS(INPUT_DATA!N:N,INPUT_DATA!$A:$A,$B39,INPUT_DATA!$C:$C,"S"))</f>
        <v/>
      </c>
      <c r="N39" s="727" t="str">
        <f>IF($B39=0,"",SUMIFS(INPUT_DATA!O:O,INPUT_DATA!$A:$A,$B39,INPUT_DATA!$C:$C,"S"))</f>
        <v/>
      </c>
      <c r="O39" s="728" t="str">
        <f t="shared" si="38"/>
        <v/>
      </c>
      <c r="P39" s="729" t="str">
        <f>IF($B39=0,"",SUMIFS(INPUT_DATA!P:P,INPUT_DATA!$A:$A,$B39,INPUT_DATA!$C:$C,"S"))</f>
        <v/>
      </c>
      <c r="Q39" s="729" t="str">
        <f t="shared" si="39"/>
        <v/>
      </c>
      <c r="R39" s="735" t="str">
        <f>IF($B39=0,"",SUMIFS(INPUT_DATA!Q:Q,INPUT_DATA!$A:$A,$B39,INPUT_DATA!$C:$C,"S"))</f>
        <v/>
      </c>
      <c r="S39" s="735" t="str">
        <f>IF($B39=0,"",SUMIFS(INPUT_DATA!R:R,INPUT_DATA!$A:$A,$B39,INPUT_DATA!$C:$C,"S"))</f>
        <v/>
      </c>
      <c r="T39" s="735" t="str">
        <f>IF($B39=0,"",SUMIFS(INPUT_DATA!S:S,INPUT_DATA!$A:$A,$B39,INPUT_DATA!$C:$C,"S"))</f>
        <v/>
      </c>
      <c r="U39" s="312" t="str">
        <f>IF($B39=0,"",SUMIFS(INPUT_DATA!T:T,INPUT_DATA!$A:$A,$B39,INPUT_DATA!$C:$C,"S"))</f>
        <v/>
      </c>
      <c r="V39" s="312" t="str">
        <f>IF($B39=0,"",SUMIFS(INPUT_DATA!U:U,INPUT_DATA!$A:$A,$B39,INPUT_DATA!$C:$C,"S"))</f>
        <v/>
      </c>
      <c r="W39" s="312" t="str">
        <f>IF($B39=0,"",SUMIFS(INPUT_DATA!V:V,INPUT_DATA!$A:$A,$B39,INPUT_DATA!$C:$C,"S"))</f>
        <v/>
      </c>
      <c r="X39" s="312" t="str">
        <f>IF($B39=0,"",SUMIFS(INPUT_DATA!W:W,INPUT_DATA!$A:$A,$B39,INPUT_DATA!$C:$C,"S"))</f>
        <v/>
      </c>
      <c r="Y39" s="312" t="str">
        <f>IF($B39=0,"",SUMIFS(INPUT_DATA!X:X,INPUT_DATA!$A:$A,$B39,INPUT_DATA!$C:$C,"S"))</f>
        <v/>
      </c>
      <c r="Z39" s="312" t="str">
        <f>IF($B39=0,"",SUMIFS(INPUT_DATA!Y:Y,INPUT_DATA!$A:$A,$B39,INPUT_DATA!$C:$C,"S"))</f>
        <v/>
      </c>
      <c r="AA39" s="312" t="str">
        <f>IF($B39=0,"",SUMIFS(INPUT_DATA!Z:Z,INPUT_DATA!$A:$A,$B39,INPUT_DATA!$C:$C,"S"))</f>
        <v/>
      </c>
      <c r="AB39" s="312" t="str">
        <f>IF($B39=0,"",SUMIFS(INPUT_DATA!AA:AA,INPUT_DATA!$A:$A,$B39,INPUT_DATA!$C:$C,"S"))</f>
        <v/>
      </c>
      <c r="AC39" s="312" t="str">
        <f>IF($B39=0,"",SUMIFS(INPUT_DATA!AB:AB,INPUT_DATA!$A:$A,$B39,INPUT_DATA!$C:$C,"S"))</f>
        <v/>
      </c>
      <c r="AD39" s="312" t="str">
        <f>IF($B39=0,"",SUMIFS(INPUT_DATA!AC:AC,INPUT_DATA!$A:$A,$B39,INPUT_DATA!$C:$C,"S"))</f>
        <v/>
      </c>
      <c r="AE39" s="312" t="str">
        <f>IF($B39=0,"",SUMIFS(INPUT_DATA!AD:AD,INPUT_DATA!$A:$A,$B39,INPUT_DATA!$C:$C,"S"))</f>
        <v/>
      </c>
      <c r="AF39" s="312" t="str">
        <f>IF($B39=0,"",SUMIFS(INPUT_DATA!AE:AE,INPUT_DATA!$A:$A,$B39,INPUT_DATA!$C:$C,"S"))</f>
        <v/>
      </c>
      <c r="AG39" s="312" t="str">
        <f>IF($B39=0,"",SUMIFS(INPUT_DATA!AF:AF,INPUT_DATA!$A:$A,$B39,INPUT_DATA!$C:$C,"S"))</f>
        <v/>
      </c>
      <c r="AH39" s="312" t="str">
        <f>IF($B39=0,"",SUMIFS(INPUT_DATA!AG:AG,INPUT_DATA!$A:$A,$B39,INPUT_DATA!$C:$C,"S"))</f>
        <v/>
      </c>
      <c r="AI39" s="312" t="str">
        <f>IF($B39=0,"",SUMIFS(INPUT_DATA!AH:AH,INPUT_DATA!$A:$A,$B39,INPUT_DATA!$C:$C,"S"))</f>
        <v/>
      </c>
      <c r="AJ39" s="312" t="str">
        <f>IF($B39=0,"",SUMIFS(INPUT_DATA!AI:AI,INPUT_DATA!$A:$A,$B39,INPUT_DATA!$C:$C,"S"))</f>
        <v/>
      </c>
      <c r="AK39" s="312" t="str">
        <f>IF($B39=0,"",SUMIFS(INPUT_DATA!AJ:AJ,INPUT_DATA!$A:$A,$B39,INPUT_DATA!$C:$C,"S"))</f>
        <v/>
      </c>
      <c r="AL39" s="312" t="str">
        <f>IF($B39=0,"",SUMIFS(INPUT_DATA!AK:AK,INPUT_DATA!$A:$A,$B39,INPUT_DATA!$C:$C,"S"))</f>
        <v/>
      </c>
      <c r="AM39" s="312" t="str">
        <f>IF($B39=0,"",SUMIFS(INPUT_DATA!AL:AL,INPUT_DATA!$A:$A,$B39,INPUT_DATA!$C:$C,"S"))</f>
        <v/>
      </c>
      <c r="AN39" s="312" t="str">
        <f>IF($B39=0,"",SUMIFS(INPUT_DATA!AM:AM,INPUT_DATA!$A:$A,$B39,INPUT_DATA!$C:$C,"S"))</f>
        <v/>
      </c>
      <c r="AO39" s="312" t="str">
        <f>IF($B39=0,"",SUMIFS(INPUT_DATA!AN:AN,INPUT_DATA!$A:$A,$B39,INPUT_DATA!$C:$C,"S"))</f>
        <v/>
      </c>
      <c r="AP39" s="312" t="str">
        <f>IF($B39=0,"",SUMIFS(INPUT_DATA!AO:AO,INPUT_DATA!$A:$A,$B39,INPUT_DATA!$C:$C,"S"))</f>
        <v/>
      </c>
      <c r="AQ39" s="312" t="str">
        <f>IF($B39=0,"",SUMIFS(INPUT_DATA!AP:AP,INPUT_DATA!$A:$A,$B39,INPUT_DATA!$C:$C,"S"))</f>
        <v/>
      </c>
      <c r="AR39" s="312" t="str">
        <f>IF($B39=0,"",SUMIFS(INPUT_DATA!AQ:AQ,INPUT_DATA!$A:$A,$B39,INPUT_DATA!$C:$C,"S"))</f>
        <v/>
      </c>
      <c r="AS39" s="736" t="str">
        <f t="shared" si="29"/>
        <v/>
      </c>
      <c r="AT39" s="737" t="str">
        <f t="shared" si="30"/>
        <v/>
      </c>
      <c r="AU39" s="738" t="str">
        <f t="shared" si="31"/>
        <v/>
      </c>
      <c r="AV39" s="736" t="str">
        <f>IF($B39=0,"",SUMIFS(INPUT_DATA!AR:AR,INPUT_DATA!$A:$A,$B39,INPUT_DATA!$C:$C,"S"))</f>
        <v/>
      </c>
      <c r="AW39" s="737" t="str">
        <f>IF($B39=0,"",SUMIFS(INPUT_DATA!AS:AS,INPUT_DATA!$A:$A,$B39,INPUT_DATA!$C:$C,"S"))</f>
        <v/>
      </c>
      <c r="AX39" s="738" t="str">
        <f>IF($B39=0,"",SUMIFS(INPUT_DATA!AT:AT,INPUT_DATA!$A:$A,$B39,INPUT_DATA!$C:$C,"S"))</f>
        <v/>
      </c>
      <c r="AY39" s="736" t="str">
        <f t="shared" si="15"/>
        <v/>
      </c>
      <c r="AZ39" s="737" t="str">
        <f t="shared" si="16"/>
        <v/>
      </c>
      <c r="BA39" s="738" t="str">
        <f t="shared" si="17"/>
        <v/>
      </c>
      <c r="BB39" s="150"/>
      <c r="BC39" s="725" t="str">
        <f>IF($B39=0,"",SUMIFS(INPUT_DATA!D:D,INPUT_DATA!$A:$A,$B39,INPUT_DATA!$C:$C,"D"))</f>
        <v/>
      </c>
      <c r="BD39" s="311" t="str">
        <f>IF($B39=0,"",SUMIFS(INPUT_DATA!F:F,INPUT_DATA!$A:$A,$B39,INPUT_DATA!$C:$C,"D"))</f>
        <v/>
      </c>
      <c r="BE39" s="311" t="str">
        <f>IF($B39=0,"",SUMIFS(INPUT_DATA!G:G,INPUT_DATA!$A:$A,$B39,INPUT_DATA!$C:$C,"D"))</f>
        <v/>
      </c>
      <c r="BF39" s="311" t="str">
        <f>IF($B39=0,"",SUMIFS(INPUT_DATA!H:H,INPUT_DATA!$A:$A,$B39,INPUT_DATA!$C:$C,"D"))</f>
        <v/>
      </c>
      <c r="BG39" s="311" t="str">
        <f>IF($B39=0,"",SUMIFS(INPUT_DATA!I:I,INPUT_DATA!$A:$A,$B39,INPUT_DATA!$C:$C,"D"))</f>
        <v/>
      </c>
      <c r="BH39" s="311" t="str">
        <f>IF($B39=0,"",SUMIFS(INPUT_DATA!J:J,INPUT_DATA!$A:$A,$B39,INPUT_DATA!$C:$C,"D"))</f>
        <v/>
      </c>
      <c r="BI39" s="311" t="str">
        <f>IF($B39=0,"",SUMIFS(INPUT_DATA!K:K,INPUT_DATA!$A:$A,$B39,INPUT_DATA!$C:$C,"D"))</f>
        <v/>
      </c>
      <c r="BJ39" s="311" t="str">
        <f>IF($B39=0,"",SUMIFS(INPUT_DATA!L:L,INPUT_DATA!$A:$A,$B39,INPUT_DATA!$C:$C,"D"))</f>
        <v/>
      </c>
      <c r="BK39" s="311" t="str">
        <f>IF($B39=0,"",SUMIFS(INPUT_DATA!M:M,INPUT_DATA!$A:$A,$B39,INPUT_DATA!$C:$C,"D"))</f>
        <v/>
      </c>
      <c r="BL39" s="311" t="str">
        <f>IF($B39=0,"",SUMIFS(INPUT_DATA!N:N,INPUT_DATA!$A:$A,$B39,INPUT_DATA!$C:$C,"D"))</f>
        <v/>
      </c>
      <c r="BM39" s="311" t="str">
        <f>IF($B39=0,"",SUMIFS(INPUT_DATA!O:O,INPUT_DATA!$A:$A,$B39,INPUT_DATA!$C:$C,"D"))</f>
        <v/>
      </c>
      <c r="BN39" s="741" t="str">
        <f t="shared" si="18"/>
        <v/>
      </c>
      <c r="BO39" s="741" t="str">
        <f>IF($B39=0,"",SUMIFS(INPUT_DATA!O:O,INPUT_DATA!$A:$A,$B39,INPUT_DATA!$C:$C,"D"))</f>
        <v/>
      </c>
      <c r="BP39" s="741" t="str">
        <f t="shared" si="19"/>
        <v/>
      </c>
      <c r="BQ39" s="725" t="str">
        <f>IF($B39=0,"",SUMIFS(INPUT_DATA!Q:Q,INPUT_DATA!$A:$A,$B39,INPUT_DATA!$C:$C,"D"))</f>
        <v/>
      </c>
      <c r="BR39" s="747" t="str">
        <f>IF($B39=0,"",SUMIFS(INPUT_DATA!R:R,INPUT_DATA!$A:$A,$B39,INPUT_DATA!$C:$C,"D"))</f>
        <v/>
      </c>
      <c r="BS39" s="747" t="str">
        <f>IF($B39=0,"",SUMIFS(INPUT_DATA!S:S,INPUT_DATA!$A:$A,$B39,INPUT_DATA!$C:$C,"D"))</f>
        <v/>
      </c>
      <c r="BT39" s="311" t="str">
        <f>IF($B39=0,"",SUMIFS(INPUT_DATA!T:T,INPUT_DATA!$A:$A,$B39,INPUT_DATA!$C:$C,"D"))</f>
        <v/>
      </c>
      <c r="BU39" s="311" t="str">
        <f>IF($B39=0,"",SUMIFS(INPUT_DATA!U:U,INPUT_DATA!$A:$A,$B39,INPUT_DATA!$C:$C,"D"))</f>
        <v/>
      </c>
      <c r="BV39" s="311" t="str">
        <f>IF($B39=0,"",SUMIFS(INPUT_DATA!V:V,INPUT_DATA!$A:$A,$B39,INPUT_DATA!$C:$C,"D"))</f>
        <v/>
      </c>
      <c r="BW39" s="311" t="str">
        <f>IF($B39=0,"",SUMIFS(INPUT_DATA!W:W,INPUT_DATA!$A:$A,$B39,INPUT_DATA!$C:$C,"D"))</f>
        <v/>
      </c>
      <c r="BX39" s="311" t="str">
        <f>IF($B39=0,"",SUMIFS(INPUT_DATA!X:X,INPUT_DATA!$A:$A,$B39,INPUT_DATA!$C:$C,"D"))</f>
        <v/>
      </c>
      <c r="BY39" s="311" t="str">
        <f>IF($B39=0,"",SUMIFS(INPUT_DATA!Y:Y,INPUT_DATA!$A:$A,$B39,INPUT_DATA!$C:$C,"D"))</f>
        <v/>
      </c>
      <c r="BZ39" s="352" t="str">
        <f>IF($B39=0,"",SUMIFS(INPUT_DATA!Z:Z,INPUT_DATA!$A:$A,$B39,INPUT_DATA!$C:$C,"D"))</f>
        <v/>
      </c>
      <c r="CA39" s="352" t="str">
        <f>IF($B39=0,"",SUMIFS(INPUT_DATA!AA:AA,INPUT_DATA!$A:$A,$B39,INPUT_DATA!$C:$C,"D"))</f>
        <v/>
      </c>
      <c r="CB39" s="352" t="str">
        <f>IF($B39=0,"",SUMIFS(INPUT_DATA!AB:AB,INPUT_DATA!$A:$A,$B39,INPUT_DATA!$C:$C,"D"))</f>
        <v/>
      </c>
      <c r="CC39" s="311" t="str">
        <f>IF($B39=0,"",SUMIFS(INPUT_DATA!AC:AC,INPUT_DATA!$A:$A,$B39,INPUT_DATA!$C:$C,"D"))</f>
        <v/>
      </c>
      <c r="CD39" s="311" t="str">
        <f>IF($B39=0,"",SUMIFS(INPUT_DATA!AD:AD,INPUT_DATA!$A:$A,$B39,INPUT_DATA!$C:$C,"D"))</f>
        <v/>
      </c>
      <c r="CE39" s="311" t="str">
        <f>IF($B39=0,"",SUMIFS(INPUT_DATA!AE:AE,INPUT_DATA!$A:$A,$B39,INPUT_DATA!$C:$C,"D"))</f>
        <v/>
      </c>
      <c r="CF39" s="352" t="str">
        <f>IF($B39=0,"",SUMIFS(INPUT_DATA!AF:AF,INPUT_DATA!$A:$A,$B39,INPUT_DATA!$C:$C,"D"))</f>
        <v/>
      </c>
      <c r="CG39" s="352" t="str">
        <f>IF($B39=0,"",SUMIFS(INPUT_DATA!AG:AG,INPUT_DATA!$A:$A,$B39,INPUT_DATA!$C:$C,"D"))</f>
        <v/>
      </c>
      <c r="CH39" s="352" t="str">
        <f>IF($B39=0,"",SUMIFS(INPUT_DATA!AH:AH,INPUT_DATA!$A:$A,$B39,INPUT_DATA!$C:$C,"D"))</f>
        <v/>
      </c>
      <c r="CI39" s="153" t="str">
        <f>IF($B39=0,"",SUMIFS(INPUT_DATA!AI:AI,INPUT_DATA!$A:$A,$B39,INPUT_DATA!$C:$C,"D"))</f>
        <v/>
      </c>
      <c r="CJ39" s="153" t="str">
        <f>IF($B39=0,"",SUMIFS(INPUT_DATA!AJ:AJ,INPUT_DATA!$A:$A,$B39,INPUT_DATA!$C:$C,"D"))</f>
        <v/>
      </c>
      <c r="CK39" s="153" t="str">
        <f>IF($B39=0,"",SUMIFS(INPUT_DATA!AK:AK,INPUT_DATA!$A:$A,$B39,INPUT_DATA!$C:$C,"D"))</f>
        <v/>
      </c>
      <c r="CL39" s="153" t="str">
        <f>IF($B39=0,"",SUMIFS(INPUT_DATA!AL:AL,INPUT_DATA!$A:$A,$B39,INPUT_DATA!$C:$C,"D"))</f>
        <v/>
      </c>
      <c r="CM39" s="153" t="str">
        <f>IF($B39=0,"",SUMIFS(INPUT_DATA!AM:AM,INPUT_DATA!$A:$A,$B39,INPUT_DATA!$C:$C,"D"))</f>
        <v/>
      </c>
      <c r="CN39" s="153" t="str">
        <f>IF($B39=0,"",SUMIFS(INPUT_DATA!AN:AN,INPUT_DATA!$A:$A,$B39,INPUT_DATA!$C:$C,"D"))</f>
        <v/>
      </c>
      <c r="CO39" s="153" t="str">
        <f>IF($B39=0,"",SUMIFS(INPUT_DATA!AO:AO,INPUT_DATA!$A:$A,$B39,INPUT_DATA!$C:$C,"D"))</f>
        <v/>
      </c>
      <c r="CP39" s="153" t="str">
        <f>IF($B39=0,"",SUMIFS(INPUT_DATA!AP:AP,INPUT_DATA!$A:$A,$B39,INPUT_DATA!$C:$C,"D"))</f>
        <v/>
      </c>
      <c r="CQ39" s="153" t="str">
        <f>IF($B39=0,"",SUMIFS(INPUT_DATA!AQ:AQ,INPUT_DATA!$A:$A,$B39,INPUT_DATA!$C:$C,"D"))</f>
        <v/>
      </c>
      <c r="CR39" s="737" t="str">
        <f t="shared" si="32"/>
        <v/>
      </c>
      <c r="CS39" s="737" t="str">
        <f t="shared" si="33"/>
        <v/>
      </c>
      <c r="CT39" s="737" t="str">
        <f t="shared" si="34"/>
        <v/>
      </c>
      <c r="CU39" s="726" t="str">
        <f>IF($B39=0,"",SUMIFS(INPUT_DATA!AR:AR,INPUT_DATA!$A:$A,$B39,INPUT_DATA!$C:$C,"D"))</f>
        <v/>
      </c>
      <c r="CV39" s="726" t="str">
        <f>IF($B39=0,"",SUMIFS(INPUT_DATA!AS:AS,INPUT_DATA!$A:$A,$B39,INPUT_DATA!$C:$C,"D"))</f>
        <v/>
      </c>
      <c r="CW39" s="726" t="str">
        <f>IF($B39=0,"",SUMIFS(INPUT_DATA!AT:AT,INPUT_DATA!$A:$A,$B39,INPUT_DATA!$C:$C,"D"))</f>
        <v/>
      </c>
      <c r="CX39" s="726" t="str">
        <f t="shared" si="35"/>
        <v/>
      </c>
      <c r="CY39" s="737" t="str">
        <f t="shared" si="36"/>
        <v/>
      </c>
      <c r="CZ39" s="748" t="str">
        <f t="shared" si="37"/>
        <v/>
      </c>
      <c r="DA39" s="150"/>
    </row>
    <row r="40" spans="1:105" x14ac:dyDescent="0.2">
      <c r="B40" s="720">
        <f>INPUT_DATA!BQ27</f>
        <v>0</v>
      </c>
      <c r="C40" s="725" t="str">
        <f>IF($B40=0,"",SUMIFS(INPUT_DATA!D:D,INPUT_DATA!$A:$A,$B40,INPUT_DATA!$C:$C,"S"))</f>
        <v/>
      </c>
      <c r="D40" s="726" t="str">
        <f>IF($B40=0,"",SUMIFS(INPUT_DATA!E:E,INPUT_DATA!$A:$A,$B40,INPUT_DATA!$C:$C,"S"))</f>
        <v/>
      </c>
      <c r="E40" s="727" t="str">
        <f>IF($B40=0,"",SUMIFS(INPUT_DATA!F:F,INPUT_DATA!$A:$A,$B40,INPUT_DATA!$C:$C,"S"))</f>
        <v/>
      </c>
      <c r="F40" s="727" t="str">
        <f>IF($B40=0,"",SUMIFS(INPUT_DATA!G:G,INPUT_DATA!$A:$A,$B40,INPUT_DATA!$C:$C,"S"))</f>
        <v/>
      </c>
      <c r="G40" s="727" t="str">
        <f>IF($B40=0,"",SUMIFS(INPUT_DATA!H:H,INPUT_DATA!$A:$A,$B40,INPUT_DATA!$C:$C,"S"))</f>
        <v/>
      </c>
      <c r="H40" s="727" t="str">
        <f>IF($B40=0,"",SUMIFS(INPUT_DATA!I:I,INPUT_DATA!$A:$A,$B40,INPUT_DATA!$C:$C,"S"))</f>
        <v/>
      </c>
      <c r="I40" s="727" t="str">
        <f>IF($B40=0,"",SUMIFS(INPUT_DATA!J:J,INPUT_DATA!$A:$A,$B40,INPUT_DATA!$C:$C,"S"))</f>
        <v/>
      </c>
      <c r="J40" s="727" t="str">
        <f>IF($B40=0,"",SUMIFS(INPUT_DATA!K:K,INPUT_DATA!$A:$A,$B40,INPUT_DATA!$C:$C,"S"))</f>
        <v/>
      </c>
      <c r="K40" s="727" t="str">
        <f>IF($B40=0,"",SUMIFS(INPUT_DATA!L:L,INPUT_DATA!$A:$A,$B40,INPUT_DATA!$C:$C,"S"))</f>
        <v/>
      </c>
      <c r="L40" s="727" t="str">
        <f>IF($B40=0,"",SUMIFS(INPUT_DATA!M:M,INPUT_DATA!$A:$A,$B40,INPUT_DATA!$C:$C,"S"))</f>
        <v/>
      </c>
      <c r="M40" s="727" t="str">
        <f>IF($B40=0,"",SUMIFS(INPUT_DATA!N:N,INPUT_DATA!$A:$A,$B40,INPUT_DATA!$C:$C,"S"))</f>
        <v/>
      </c>
      <c r="N40" s="727" t="str">
        <f>IF($B40=0,"",SUMIFS(INPUT_DATA!O:O,INPUT_DATA!$A:$A,$B40,INPUT_DATA!$C:$C,"S"))</f>
        <v/>
      </c>
      <c r="O40" s="728" t="str">
        <f t="shared" si="38"/>
        <v/>
      </c>
      <c r="P40" s="729" t="str">
        <f>IF($B40=0,"",SUMIFS(INPUT_DATA!P:P,INPUT_DATA!$A:$A,$B40,INPUT_DATA!$C:$C,"S"))</f>
        <v/>
      </c>
      <c r="Q40" s="729" t="str">
        <f t="shared" si="39"/>
        <v/>
      </c>
      <c r="R40" s="735" t="str">
        <f>IF($B40=0,"",SUMIFS(INPUT_DATA!Q:Q,INPUT_DATA!$A:$A,$B40,INPUT_DATA!$C:$C,"S"))</f>
        <v/>
      </c>
      <c r="S40" s="735" t="str">
        <f>IF($B40=0,"",SUMIFS(INPUT_DATA!R:R,INPUT_DATA!$A:$A,$B40,INPUT_DATA!$C:$C,"S"))</f>
        <v/>
      </c>
      <c r="T40" s="735" t="str">
        <f>IF($B40=0,"",SUMIFS(INPUT_DATA!S:S,INPUT_DATA!$A:$A,$B40,INPUT_DATA!$C:$C,"S"))</f>
        <v/>
      </c>
      <c r="U40" s="312" t="str">
        <f>IF($B40=0,"",SUMIFS(INPUT_DATA!T:T,INPUT_DATA!$A:$A,$B40,INPUT_DATA!$C:$C,"S"))</f>
        <v/>
      </c>
      <c r="V40" s="312" t="str">
        <f>IF($B40=0,"",SUMIFS(INPUT_DATA!U:U,INPUT_DATA!$A:$A,$B40,INPUT_DATA!$C:$C,"S"))</f>
        <v/>
      </c>
      <c r="W40" s="312" t="str">
        <f>IF($B40=0,"",SUMIFS(INPUT_DATA!V:V,INPUT_DATA!$A:$A,$B40,INPUT_DATA!$C:$C,"S"))</f>
        <v/>
      </c>
      <c r="X40" s="312" t="str">
        <f>IF($B40=0,"",SUMIFS(INPUT_DATA!W:W,INPUT_DATA!$A:$A,$B40,INPUT_DATA!$C:$C,"S"))</f>
        <v/>
      </c>
      <c r="Y40" s="312" t="str">
        <f>IF($B40=0,"",SUMIFS(INPUT_DATA!X:X,INPUT_DATA!$A:$A,$B40,INPUT_DATA!$C:$C,"S"))</f>
        <v/>
      </c>
      <c r="Z40" s="312" t="str">
        <f>IF($B40=0,"",SUMIFS(INPUT_DATA!Y:Y,INPUT_DATA!$A:$A,$B40,INPUT_DATA!$C:$C,"S"))</f>
        <v/>
      </c>
      <c r="AA40" s="312" t="str">
        <f>IF($B40=0,"",SUMIFS(INPUT_DATA!Z:Z,INPUT_DATA!$A:$A,$B40,INPUT_DATA!$C:$C,"S"))</f>
        <v/>
      </c>
      <c r="AB40" s="312" t="str">
        <f>IF($B40=0,"",SUMIFS(INPUT_DATA!AA:AA,INPUT_DATA!$A:$A,$B40,INPUT_DATA!$C:$C,"S"))</f>
        <v/>
      </c>
      <c r="AC40" s="312" t="str">
        <f>IF($B40=0,"",SUMIFS(INPUT_DATA!AB:AB,INPUT_DATA!$A:$A,$B40,INPUT_DATA!$C:$C,"S"))</f>
        <v/>
      </c>
      <c r="AD40" s="312" t="str">
        <f>IF($B40=0,"",SUMIFS(INPUT_DATA!AC:AC,INPUT_DATA!$A:$A,$B40,INPUT_DATA!$C:$C,"S"))</f>
        <v/>
      </c>
      <c r="AE40" s="312" t="str">
        <f>IF($B40=0,"",SUMIFS(INPUT_DATA!AD:AD,INPUT_DATA!$A:$A,$B40,INPUT_DATA!$C:$C,"S"))</f>
        <v/>
      </c>
      <c r="AF40" s="312" t="str">
        <f>IF($B40=0,"",SUMIFS(INPUT_DATA!AE:AE,INPUT_DATA!$A:$A,$B40,INPUT_DATA!$C:$C,"S"))</f>
        <v/>
      </c>
      <c r="AG40" s="312" t="str">
        <f>IF($B40=0,"",SUMIFS(INPUT_DATA!AF:AF,INPUT_DATA!$A:$A,$B40,INPUT_DATA!$C:$C,"S"))</f>
        <v/>
      </c>
      <c r="AH40" s="312" t="str">
        <f>IF($B40=0,"",SUMIFS(INPUT_DATA!AG:AG,INPUT_DATA!$A:$A,$B40,INPUT_DATA!$C:$C,"S"))</f>
        <v/>
      </c>
      <c r="AI40" s="312" t="str">
        <f>IF($B40=0,"",SUMIFS(INPUT_DATA!AH:AH,INPUT_DATA!$A:$A,$B40,INPUT_DATA!$C:$C,"S"))</f>
        <v/>
      </c>
      <c r="AJ40" s="312" t="str">
        <f>IF($B40=0,"",SUMIFS(INPUT_DATA!AI:AI,INPUT_DATA!$A:$A,$B40,INPUT_DATA!$C:$C,"S"))</f>
        <v/>
      </c>
      <c r="AK40" s="312" t="str">
        <f>IF($B40=0,"",SUMIFS(INPUT_DATA!AJ:AJ,INPUT_DATA!$A:$A,$B40,INPUT_DATA!$C:$C,"S"))</f>
        <v/>
      </c>
      <c r="AL40" s="312" t="str">
        <f>IF($B40=0,"",SUMIFS(INPUT_DATA!AK:AK,INPUT_DATA!$A:$A,$B40,INPUT_DATA!$C:$C,"S"))</f>
        <v/>
      </c>
      <c r="AM40" s="312" t="str">
        <f>IF($B40=0,"",SUMIFS(INPUT_DATA!AL:AL,INPUT_DATA!$A:$A,$B40,INPUT_DATA!$C:$C,"S"))</f>
        <v/>
      </c>
      <c r="AN40" s="312" t="str">
        <f>IF($B40=0,"",SUMIFS(INPUT_DATA!AM:AM,INPUT_DATA!$A:$A,$B40,INPUT_DATA!$C:$C,"S"))</f>
        <v/>
      </c>
      <c r="AO40" s="312" t="str">
        <f>IF($B40=0,"",SUMIFS(INPUT_DATA!AN:AN,INPUT_DATA!$A:$A,$B40,INPUT_DATA!$C:$C,"S"))</f>
        <v/>
      </c>
      <c r="AP40" s="312" t="str">
        <f>IF($B40=0,"",SUMIFS(INPUT_DATA!AO:AO,INPUT_DATA!$A:$A,$B40,INPUT_DATA!$C:$C,"S"))</f>
        <v/>
      </c>
      <c r="AQ40" s="312" t="str">
        <f>IF($B40=0,"",SUMIFS(INPUT_DATA!AP:AP,INPUT_DATA!$A:$A,$B40,INPUT_DATA!$C:$C,"S"))</f>
        <v/>
      </c>
      <c r="AR40" s="312" t="str">
        <f>IF($B40=0,"",SUMIFS(INPUT_DATA!AQ:AQ,INPUT_DATA!$A:$A,$B40,INPUT_DATA!$C:$C,"S"))</f>
        <v/>
      </c>
      <c r="AS40" s="736" t="str">
        <f t="shared" si="29"/>
        <v/>
      </c>
      <c r="AT40" s="737" t="str">
        <f t="shared" si="30"/>
        <v/>
      </c>
      <c r="AU40" s="738" t="str">
        <f t="shared" si="31"/>
        <v/>
      </c>
      <c r="AV40" s="736" t="str">
        <f>IF($B40=0,"",SUMIFS(INPUT_DATA!AR:AR,INPUT_DATA!$A:$A,$B40,INPUT_DATA!$C:$C,"S"))</f>
        <v/>
      </c>
      <c r="AW40" s="737" t="str">
        <f>IF($B40=0,"",SUMIFS(INPUT_DATA!AS:AS,INPUT_DATA!$A:$A,$B40,INPUT_DATA!$C:$C,"S"))</f>
        <v/>
      </c>
      <c r="AX40" s="738" t="str">
        <f>IF($B40=0,"",SUMIFS(INPUT_DATA!AT:AT,INPUT_DATA!$A:$A,$B40,INPUT_DATA!$C:$C,"S"))</f>
        <v/>
      </c>
      <c r="AY40" s="736" t="str">
        <f t="shared" si="15"/>
        <v/>
      </c>
      <c r="AZ40" s="737" t="str">
        <f t="shared" si="16"/>
        <v/>
      </c>
      <c r="BA40" s="738" t="str">
        <f t="shared" si="17"/>
        <v/>
      </c>
      <c r="BB40" s="150"/>
      <c r="BC40" s="725" t="str">
        <f>IF($B40=0,"",SUMIFS(INPUT_DATA!D:D,INPUT_DATA!$A:$A,$B40,INPUT_DATA!$C:$C,"D"))</f>
        <v/>
      </c>
      <c r="BD40" s="311" t="str">
        <f>IF($B40=0,"",SUMIFS(INPUT_DATA!F:F,INPUT_DATA!$A:$A,$B40,INPUT_DATA!$C:$C,"D"))</f>
        <v/>
      </c>
      <c r="BE40" s="311" t="str">
        <f>IF($B40=0,"",SUMIFS(INPUT_DATA!G:G,INPUT_DATA!$A:$A,$B40,INPUT_DATA!$C:$C,"D"))</f>
        <v/>
      </c>
      <c r="BF40" s="311" t="str">
        <f>IF($B40=0,"",SUMIFS(INPUT_DATA!H:H,INPUT_DATA!$A:$A,$B40,INPUT_DATA!$C:$C,"D"))</f>
        <v/>
      </c>
      <c r="BG40" s="311" t="str">
        <f>IF($B40=0,"",SUMIFS(INPUT_DATA!I:I,INPUT_DATA!$A:$A,$B40,INPUT_DATA!$C:$C,"D"))</f>
        <v/>
      </c>
      <c r="BH40" s="311" t="str">
        <f>IF($B40=0,"",SUMIFS(INPUT_DATA!J:J,INPUT_DATA!$A:$A,$B40,INPUT_DATA!$C:$C,"D"))</f>
        <v/>
      </c>
      <c r="BI40" s="311" t="str">
        <f>IF($B40=0,"",SUMIFS(INPUT_DATA!K:K,INPUT_DATA!$A:$A,$B40,INPUT_DATA!$C:$C,"D"))</f>
        <v/>
      </c>
      <c r="BJ40" s="311" t="str">
        <f>IF($B40=0,"",SUMIFS(INPUT_DATA!L:L,INPUT_DATA!$A:$A,$B40,INPUT_DATA!$C:$C,"D"))</f>
        <v/>
      </c>
      <c r="BK40" s="311" t="str">
        <f>IF($B40=0,"",SUMIFS(INPUT_DATA!M:M,INPUT_DATA!$A:$A,$B40,INPUT_DATA!$C:$C,"D"))</f>
        <v/>
      </c>
      <c r="BL40" s="311" t="str">
        <f>IF($B40=0,"",SUMIFS(INPUT_DATA!N:N,INPUT_DATA!$A:$A,$B40,INPUT_DATA!$C:$C,"D"))</f>
        <v/>
      </c>
      <c r="BM40" s="311" t="str">
        <f>IF($B40=0,"",SUMIFS(INPUT_DATA!O:O,INPUT_DATA!$A:$A,$B40,INPUT_DATA!$C:$C,"D"))</f>
        <v/>
      </c>
      <c r="BN40" s="741" t="str">
        <f t="shared" si="18"/>
        <v/>
      </c>
      <c r="BO40" s="741" t="str">
        <f>IF($B40=0,"",SUMIFS(INPUT_DATA!O:O,INPUT_DATA!$A:$A,$B40,INPUT_DATA!$C:$C,"D"))</f>
        <v/>
      </c>
      <c r="BP40" s="741" t="str">
        <f t="shared" si="19"/>
        <v/>
      </c>
      <c r="BQ40" s="725" t="str">
        <f>IF($B40=0,"",SUMIFS(INPUT_DATA!Q:Q,INPUT_DATA!$A:$A,$B40,INPUT_DATA!$C:$C,"D"))</f>
        <v/>
      </c>
      <c r="BR40" s="747" t="str">
        <f>IF($B40=0,"",SUMIFS(INPUT_DATA!R:R,INPUT_DATA!$A:$A,$B40,INPUT_DATA!$C:$C,"D"))</f>
        <v/>
      </c>
      <c r="BS40" s="747" t="str">
        <f>IF($B40=0,"",SUMIFS(INPUT_DATA!S:S,INPUT_DATA!$A:$A,$B40,INPUT_DATA!$C:$C,"D"))</f>
        <v/>
      </c>
      <c r="BT40" s="311" t="str">
        <f>IF($B40=0,"",SUMIFS(INPUT_DATA!T:T,INPUT_DATA!$A:$A,$B40,INPUT_DATA!$C:$C,"D"))</f>
        <v/>
      </c>
      <c r="BU40" s="311" t="str">
        <f>IF($B40=0,"",SUMIFS(INPUT_DATA!U:U,INPUT_DATA!$A:$A,$B40,INPUT_DATA!$C:$C,"D"))</f>
        <v/>
      </c>
      <c r="BV40" s="311" t="str">
        <f>IF($B40=0,"",SUMIFS(INPUT_DATA!V:V,INPUT_DATA!$A:$A,$B40,INPUT_DATA!$C:$C,"D"))</f>
        <v/>
      </c>
      <c r="BW40" s="311" t="str">
        <f>IF($B40=0,"",SUMIFS(INPUT_DATA!W:W,INPUT_DATA!$A:$A,$B40,INPUT_DATA!$C:$C,"D"))</f>
        <v/>
      </c>
      <c r="BX40" s="311" t="str">
        <f>IF($B40=0,"",SUMIFS(INPUT_DATA!X:X,INPUT_DATA!$A:$A,$B40,INPUT_DATA!$C:$C,"D"))</f>
        <v/>
      </c>
      <c r="BY40" s="311" t="str">
        <f>IF($B40=0,"",SUMIFS(INPUT_DATA!Y:Y,INPUT_DATA!$A:$A,$B40,INPUT_DATA!$C:$C,"D"))</f>
        <v/>
      </c>
      <c r="BZ40" s="352" t="str">
        <f>IF($B40=0,"",SUMIFS(INPUT_DATA!Z:Z,INPUT_DATA!$A:$A,$B40,INPUT_DATA!$C:$C,"D"))</f>
        <v/>
      </c>
      <c r="CA40" s="352" t="str">
        <f>IF($B40=0,"",SUMIFS(INPUT_DATA!AA:AA,INPUT_DATA!$A:$A,$B40,INPUT_DATA!$C:$C,"D"))</f>
        <v/>
      </c>
      <c r="CB40" s="352" t="str">
        <f>IF($B40=0,"",SUMIFS(INPUT_DATA!AB:AB,INPUT_DATA!$A:$A,$B40,INPUT_DATA!$C:$C,"D"))</f>
        <v/>
      </c>
      <c r="CC40" s="311" t="str">
        <f>IF($B40=0,"",SUMIFS(INPUT_DATA!AC:AC,INPUT_DATA!$A:$A,$B40,INPUT_DATA!$C:$C,"D"))</f>
        <v/>
      </c>
      <c r="CD40" s="311" t="str">
        <f>IF($B40=0,"",SUMIFS(INPUT_DATA!AD:AD,INPUT_DATA!$A:$A,$B40,INPUT_DATA!$C:$C,"D"))</f>
        <v/>
      </c>
      <c r="CE40" s="311" t="str">
        <f>IF($B40=0,"",SUMIFS(INPUT_DATA!AE:AE,INPUT_DATA!$A:$A,$B40,INPUT_DATA!$C:$C,"D"))</f>
        <v/>
      </c>
      <c r="CF40" s="352" t="str">
        <f>IF($B40=0,"",SUMIFS(INPUT_DATA!AF:AF,INPUT_DATA!$A:$A,$B40,INPUT_DATA!$C:$C,"D"))</f>
        <v/>
      </c>
      <c r="CG40" s="352" t="str">
        <f>IF($B40=0,"",SUMIFS(INPUT_DATA!AG:AG,INPUT_DATA!$A:$A,$B40,INPUT_DATA!$C:$C,"D"))</f>
        <v/>
      </c>
      <c r="CH40" s="352" t="str">
        <f>IF($B40=0,"",SUMIFS(INPUT_DATA!AH:AH,INPUT_DATA!$A:$A,$B40,INPUT_DATA!$C:$C,"D"))</f>
        <v/>
      </c>
      <c r="CI40" s="153" t="str">
        <f>IF($B40=0,"",SUMIFS(INPUT_DATA!AI:AI,INPUT_DATA!$A:$A,$B40,INPUT_DATA!$C:$C,"D"))</f>
        <v/>
      </c>
      <c r="CJ40" s="153" t="str">
        <f>IF($B40=0,"",SUMIFS(INPUT_DATA!AJ:AJ,INPUT_DATA!$A:$A,$B40,INPUT_DATA!$C:$C,"D"))</f>
        <v/>
      </c>
      <c r="CK40" s="153" t="str">
        <f>IF($B40=0,"",SUMIFS(INPUT_DATA!AK:AK,INPUT_DATA!$A:$A,$B40,INPUT_DATA!$C:$C,"D"))</f>
        <v/>
      </c>
      <c r="CL40" s="153" t="str">
        <f>IF($B40=0,"",SUMIFS(INPUT_DATA!AL:AL,INPUT_DATA!$A:$A,$B40,INPUT_DATA!$C:$C,"D"))</f>
        <v/>
      </c>
      <c r="CM40" s="153" t="str">
        <f>IF($B40=0,"",SUMIFS(INPUT_DATA!AM:AM,INPUT_DATA!$A:$A,$B40,INPUT_DATA!$C:$C,"D"))</f>
        <v/>
      </c>
      <c r="CN40" s="153" t="str">
        <f>IF($B40=0,"",SUMIFS(INPUT_DATA!AN:AN,INPUT_DATA!$A:$A,$B40,INPUT_DATA!$C:$C,"D"))</f>
        <v/>
      </c>
      <c r="CO40" s="153" t="str">
        <f>IF($B40=0,"",SUMIFS(INPUT_DATA!AO:AO,INPUT_DATA!$A:$A,$B40,INPUT_DATA!$C:$C,"D"))</f>
        <v/>
      </c>
      <c r="CP40" s="153" t="str">
        <f>IF($B40=0,"",SUMIFS(INPUT_DATA!AP:AP,INPUT_DATA!$A:$A,$B40,INPUT_DATA!$C:$C,"D"))</f>
        <v/>
      </c>
      <c r="CQ40" s="153" t="str">
        <f>IF($B40=0,"",SUMIFS(INPUT_DATA!AQ:AQ,INPUT_DATA!$A:$A,$B40,INPUT_DATA!$C:$C,"D"))</f>
        <v/>
      </c>
      <c r="CR40" s="737" t="str">
        <f t="shared" si="32"/>
        <v/>
      </c>
      <c r="CS40" s="737" t="str">
        <f t="shared" si="33"/>
        <v/>
      </c>
      <c r="CT40" s="737" t="str">
        <f t="shared" si="34"/>
        <v/>
      </c>
      <c r="CU40" s="726" t="str">
        <f>IF($B40=0,"",SUMIFS(INPUT_DATA!AR:AR,INPUT_DATA!$A:$A,$B40,INPUT_DATA!$C:$C,"D"))</f>
        <v/>
      </c>
      <c r="CV40" s="726" t="str">
        <f>IF($B40=0,"",SUMIFS(INPUT_DATA!AS:AS,INPUT_DATA!$A:$A,$B40,INPUT_DATA!$C:$C,"D"))</f>
        <v/>
      </c>
      <c r="CW40" s="726" t="str">
        <f>IF($B40=0,"",SUMIFS(INPUT_DATA!AT:AT,INPUT_DATA!$A:$A,$B40,INPUT_DATA!$C:$C,"D"))</f>
        <v/>
      </c>
      <c r="CX40" s="726" t="str">
        <f t="shared" si="35"/>
        <v/>
      </c>
      <c r="CY40" s="737" t="str">
        <f t="shared" si="36"/>
        <v/>
      </c>
      <c r="CZ40" s="748" t="str">
        <f t="shared" si="37"/>
        <v/>
      </c>
      <c r="DA40" s="150"/>
    </row>
    <row r="41" spans="1:105" x14ac:dyDescent="0.2">
      <c r="B41" s="720">
        <f>INPUT_DATA!BQ28</f>
        <v>0</v>
      </c>
      <c r="C41" s="725" t="str">
        <f>IF($B41=0,"",SUMIFS(INPUT_DATA!D:D,INPUT_DATA!$A:$A,$B41,INPUT_DATA!$C:$C,"S"))</f>
        <v/>
      </c>
      <c r="D41" s="726" t="str">
        <f>IF($B41=0,"",SUMIFS(INPUT_DATA!E:E,INPUT_DATA!$A:$A,$B41,INPUT_DATA!$C:$C,"S"))</f>
        <v/>
      </c>
      <c r="E41" s="727" t="str">
        <f>IF($B41=0,"",SUMIFS(INPUT_DATA!F:F,INPUT_DATA!$A:$A,$B41,INPUT_DATA!$C:$C,"S"))</f>
        <v/>
      </c>
      <c r="F41" s="727" t="str">
        <f>IF($B41=0,"",SUMIFS(INPUT_DATA!G:G,INPUT_DATA!$A:$A,$B41,INPUT_DATA!$C:$C,"S"))</f>
        <v/>
      </c>
      <c r="G41" s="727" t="str">
        <f>IF($B41=0,"",SUMIFS(INPUT_DATA!H:H,INPUT_DATA!$A:$A,$B41,INPUT_DATA!$C:$C,"S"))</f>
        <v/>
      </c>
      <c r="H41" s="727" t="str">
        <f>IF($B41=0,"",SUMIFS(INPUT_DATA!I:I,INPUT_DATA!$A:$A,$B41,INPUT_DATA!$C:$C,"S"))</f>
        <v/>
      </c>
      <c r="I41" s="727" t="str">
        <f>IF($B41=0,"",SUMIFS(INPUT_DATA!J:J,INPUT_DATA!$A:$A,$B41,INPUT_DATA!$C:$C,"S"))</f>
        <v/>
      </c>
      <c r="J41" s="727" t="str">
        <f>IF($B41=0,"",SUMIFS(INPUT_DATA!K:K,INPUT_DATA!$A:$A,$B41,INPUT_DATA!$C:$C,"S"))</f>
        <v/>
      </c>
      <c r="K41" s="727" t="str">
        <f>IF($B41=0,"",SUMIFS(INPUT_DATA!L:L,INPUT_DATA!$A:$A,$B41,INPUT_DATA!$C:$C,"S"))</f>
        <v/>
      </c>
      <c r="L41" s="727" t="str">
        <f>IF($B41=0,"",SUMIFS(INPUT_DATA!M:M,INPUT_DATA!$A:$A,$B41,INPUT_DATA!$C:$C,"S"))</f>
        <v/>
      </c>
      <c r="M41" s="727" t="str">
        <f>IF($B41=0,"",SUMIFS(INPUT_DATA!N:N,INPUT_DATA!$A:$A,$B41,INPUT_DATA!$C:$C,"S"))</f>
        <v/>
      </c>
      <c r="N41" s="727" t="str">
        <f>IF($B41=0,"",SUMIFS(INPUT_DATA!O:O,INPUT_DATA!$A:$A,$B41,INPUT_DATA!$C:$C,"S"))</f>
        <v/>
      </c>
      <c r="O41" s="728" t="str">
        <f t="shared" si="38"/>
        <v/>
      </c>
      <c r="P41" s="729" t="str">
        <f>IF($B41=0,"",SUMIFS(INPUT_DATA!P:P,INPUT_DATA!$A:$A,$B41,INPUT_DATA!$C:$C,"S"))</f>
        <v/>
      </c>
      <c r="Q41" s="729" t="str">
        <f t="shared" si="39"/>
        <v/>
      </c>
      <c r="R41" s="735" t="str">
        <f>IF($B41=0,"",SUMIFS(INPUT_DATA!Q:Q,INPUT_DATA!$A:$A,$B41,INPUT_DATA!$C:$C,"S"))</f>
        <v/>
      </c>
      <c r="S41" s="735" t="str">
        <f>IF($B41=0,"",SUMIFS(INPUT_DATA!R:R,INPUT_DATA!$A:$A,$B41,INPUT_DATA!$C:$C,"S"))</f>
        <v/>
      </c>
      <c r="T41" s="735" t="str">
        <f>IF($B41=0,"",SUMIFS(INPUT_DATA!S:S,INPUT_DATA!$A:$A,$B41,INPUT_DATA!$C:$C,"S"))</f>
        <v/>
      </c>
      <c r="U41" s="312" t="str">
        <f>IF($B41=0,"",SUMIFS(INPUT_DATA!T:T,INPUT_DATA!$A:$A,$B41,INPUT_DATA!$C:$C,"S"))</f>
        <v/>
      </c>
      <c r="V41" s="312" t="str">
        <f>IF($B41=0,"",SUMIFS(INPUT_DATA!U:U,INPUT_DATA!$A:$A,$B41,INPUT_DATA!$C:$C,"S"))</f>
        <v/>
      </c>
      <c r="W41" s="312" t="str">
        <f>IF($B41=0,"",SUMIFS(INPUT_DATA!V:V,INPUT_DATA!$A:$A,$B41,INPUT_DATA!$C:$C,"S"))</f>
        <v/>
      </c>
      <c r="X41" s="312" t="str">
        <f>IF($B41=0,"",SUMIFS(INPUT_DATA!W:W,INPUT_DATA!$A:$A,$B41,INPUT_DATA!$C:$C,"S"))</f>
        <v/>
      </c>
      <c r="Y41" s="312" t="str">
        <f>IF($B41=0,"",SUMIFS(INPUT_DATA!X:X,INPUT_DATA!$A:$A,$B41,INPUT_DATA!$C:$C,"S"))</f>
        <v/>
      </c>
      <c r="Z41" s="312" t="str">
        <f>IF($B41=0,"",SUMIFS(INPUT_DATA!Y:Y,INPUT_DATA!$A:$A,$B41,INPUT_DATA!$C:$C,"S"))</f>
        <v/>
      </c>
      <c r="AA41" s="312" t="str">
        <f>IF($B41=0,"",SUMIFS(INPUT_DATA!Z:Z,INPUT_DATA!$A:$A,$B41,INPUT_DATA!$C:$C,"S"))</f>
        <v/>
      </c>
      <c r="AB41" s="312" t="str">
        <f>IF($B41=0,"",SUMIFS(INPUT_DATA!AA:AA,INPUT_DATA!$A:$A,$B41,INPUT_DATA!$C:$C,"S"))</f>
        <v/>
      </c>
      <c r="AC41" s="312" t="str">
        <f>IF($B41=0,"",SUMIFS(INPUT_DATA!AB:AB,INPUT_DATA!$A:$A,$B41,INPUT_DATA!$C:$C,"S"))</f>
        <v/>
      </c>
      <c r="AD41" s="312" t="str">
        <f>IF($B41=0,"",SUMIFS(INPUT_DATA!AC:AC,INPUT_DATA!$A:$A,$B41,INPUT_DATA!$C:$C,"S"))</f>
        <v/>
      </c>
      <c r="AE41" s="312" t="str">
        <f>IF($B41=0,"",SUMIFS(INPUT_DATA!AD:AD,INPUT_DATA!$A:$A,$B41,INPUT_DATA!$C:$C,"S"))</f>
        <v/>
      </c>
      <c r="AF41" s="312" t="str">
        <f>IF($B41=0,"",SUMIFS(INPUT_DATA!AE:AE,INPUT_DATA!$A:$A,$B41,INPUT_DATA!$C:$C,"S"))</f>
        <v/>
      </c>
      <c r="AG41" s="312" t="str">
        <f>IF($B41=0,"",SUMIFS(INPUT_DATA!AF:AF,INPUT_DATA!$A:$A,$B41,INPUT_DATA!$C:$C,"S"))</f>
        <v/>
      </c>
      <c r="AH41" s="312" t="str">
        <f>IF($B41=0,"",SUMIFS(INPUT_DATA!AG:AG,INPUT_DATA!$A:$A,$B41,INPUT_DATA!$C:$C,"S"))</f>
        <v/>
      </c>
      <c r="AI41" s="312" t="str">
        <f>IF($B41=0,"",SUMIFS(INPUT_DATA!AH:AH,INPUT_DATA!$A:$A,$B41,INPUT_DATA!$C:$C,"S"))</f>
        <v/>
      </c>
      <c r="AJ41" s="312" t="str">
        <f>IF($B41=0,"",SUMIFS(INPUT_DATA!AI:AI,INPUT_DATA!$A:$A,$B41,INPUT_DATA!$C:$C,"S"))</f>
        <v/>
      </c>
      <c r="AK41" s="312" t="str">
        <f>IF($B41=0,"",SUMIFS(INPUT_DATA!AJ:AJ,INPUT_DATA!$A:$A,$B41,INPUT_DATA!$C:$C,"S"))</f>
        <v/>
      </c>
      <c r="AL41" s="312" t="str">
        <f>IF($B41=0,"",SUMIFS(INPUT_DATA!AK:AK,INPUT_DATA!$A:$A,$B41,INPUT_DATA!$C:$C,"S"))</f>
        <v/>
      </c>
      <c r="AM41" s="312" t="str">
        <f>IF($B41=0,"",SUMIFS(INPUT_DATA!AL:AL,INPUT_DATA!$A:$A,$B41,INPUT_DATA!$C:$C,"S"))</f>
        <v/>
      </c>
      <c r="AN41" s="312" t="str">
        <f>IF($B41=0,"",SUMIFS(INPUT_DATA!AM:AM,INPUT_DATA!$A:$A,$B41,INPUT_DATA!$C:$C,"S"))</f>
        <v/>
      </c>
      <c r="AO41" s="312" t="str">
        <f>IF($B41=0,"",SUMIFS(INPUT_DATA!AN:AN,INPUT_DATA!$A:$A,$B41,INPUT_DATA!$C:$C,"S"))</f>
        <v/>
      </c>
      <c r="AP41" s="312" t="str">
        <f>IF($B41=0,"",SUMIFS(INPUT_DATA!AO:AO,INPUT_DATA!$A:$A,$B41,INPUT_DATA!$C:$C,"S"))</f>
        <v/>
      </c>
      <c r="AQ41" s="312" t="str">
        <f>IF($B41=0,"",SUMIFS(INPUT_DATA!AP:AP,INPUT_DATA!$A:$A,$B41,INPUT_DATA!$C:$C,"S"))</f>
        <v/>
      </c>
      <c r="AR41" s="312" t="str">
        <f>IF($B41=0,"",SUMIFS(INPUT_DATA!AQ:AQ,INPUT_DATA!$A:$A,$B41,INPUT_DATA!$C:$C,"S"))</f>
        <v/>
      </c>
      <c r="AS41" s="736" t="str">
        <f t="shared" si="29"/>
        <v/>
      </c>
      <c r="AT41" s="737" t="str">
        <f t="shared" si="30"/>
        <v/>
      </c>
      <c r="AU41" s="738" t="str">
        <f t="shared" si="31"/>
        <v/>
      </c>
      <c r="AV41" s="736" t="str">
        <f>IF($B41=0,"",SUMIFS(INPUT_DATA!AR:AR,INPUT_DATA!$A:$A,$B41,INPUT_DATA!$C:$C,"S"))</f>
        <v/>
      </c>
      <c r="AW41" s="737" t="str">
        <f>IF($B41=0,"",SUMIFS(INPUT_DATA!AS:AS,INPUT_DATA!$A:$A,$B41,INPUT_DATA!$C:$C,"S"))</f>
        <v/>
      </c>
      <c r="AX41" s="738" t="str">
        <f>IF($B41=0,"",SUMIFS(INPUT_DATA!AT:AT,INPUT_DATA!$A:$A,$B41,INPUT_DATA!$C:$C,"S"))</f>
        <v/>
      </c>
      <c r="AY41" s="736" t="str">
        <f t="shared" si="15"/>
        <v/>
      </c>
      <c r="AZ41" s="737" t="str">
        <f t="shared" si="16"/>
        <v/>
      </c>
      <c r="BA41" s="738" t="str">
        <f t="shared" si="17"/>
        <v/>
      </c>
      <c r="BB41" s="150"/>
      <c r="BC41" s="725" t="str">
        <f>IF($B41=0,"",SUMIFS(INPUT_DATA!D:D,INPUT_DATA!$A:$A,$B41,INPUT_DATA!$C:$C,"D"))</f>
        <v/>
      </c>
      <c r="BD41" s="311" t="str">
        <f>IF($B41=0,"",SUMIFS(INPUT_DATA!F:F,INPUT_DATA!$A:$A,$B41,INPUT_DATA!$C:$C,"D"))</f>
        <v/>
      </c>
      <c r="BE41" s="311" t="str">
        <f>IF($B41=0,"",SUMIFS(INPUT_DATA!G:G,INPUT_DATA!$A:$A,$B41,INPUT_DATA!$C:$C,"D"))</f>
        <v/>
      </c>
      <c r="BF41" s="311" t="str">
        <f>IF($B41=0,"",SUMIFS(INPUT_DATA!H:H,INPUT_DATA!$A:$A,$B41,INPUT_DATA!$C:$C,"D"))</f>
        <v/>
      </c>
      <c r="BG41" s="311" t="str">
        <f>IF($B41=0,"",SUMIFS(INPUT_DATA!I:I,INPUT_DATA!$A:$A,$B41,INPUT_DATA!$C:$C,"D"))</f>
        <v/>
      </c>
      <c r="BH41" s="311" t="str">
        <f>IF($B41=0,"",SUMIFS(INPUT_DATA!J:J,INPUT_DATA!$A:$A,$B41,INPUT_DATA!$C:$C,"D"))</f>
        <v/>
      </c>
      <c r="BI41" s="311" t="str">
        <f>IF($B41=0,"",SUMIFS(INPUT_DATA!K:K,INPUT_DATA!$A:$A,$B41,INPUT_DATA!$C:$C,"D"))</f>
        <v/>
      </c>
      <c r="BJ41" s="311" t="str">
        <f>IF($B41=0,"",SUMIFS(INPUT_DATA!L:L,INPUT_DATA!$A:$A,$B41,INPUT_DATA!$C:$C,"D"))</f>
        <v/>
      </c>
      <c r="BK41" s="311" t="str">
        <f>IF($B41=0,"",SUMIFS(INPUT_DATA!M:M,INPUT_DATA!$A:$A,$B41,INPUT_DATA!$C:$C,"D"))</f>
        <v/>
      </c>
      <c r="BL41" s="311" t="str">
        <f>IF($B41=0,"",SUMIFS(INPUT_DATA!N:N,INPUT_DATA!$A:$A,$B41,INPUT_DATA!$C:$C,"D"))</f>
        <v/>
      </c>
      <c r="BM41" s="311" t="str">
        <f>IF($B41=0,"",SUMIFS(INPUT_DATA!O:O,INPUT_DATA!$A:$A,$B41,INPUT_DATA!$C:$C,"D"))</f>
        <v/>
      </c>
      <c r="BN41" s="741" t="str">
        <f t="shared" si="18"/>
        <v/>
      </c>
      <c r="BO41" s="741" t="str">
        <f>IF($B41=0,"",SUMIFS(INPUT_DATA!O:O,INPUT_DATA!$A:$A,$B41,INPUT_DATA!$C:$C,"D"))</f>
        <v/>
      </c>
      <c r="BP41" s="741" t="str">
        <f t="shared" si="19"/>
        <v/>
      </c>
      <c r="BQ41" s="725" t="str">
        <f>IF($B41=0,"",SUMIFS(INPUT_DATA!Q:Q,INPUT_DATA!$A:$A,$B41,INPUT_DATA!$C:$C,"D"))</f>
        <v/>
      </c>
      <c r="BR41" s="747" t="str">
        <f>IF($B41=0,"",SUMIFS(INPUT_DATA!R:R,INPUT_DATA!$A:$A,$B41,INPUT_DATA!$C:$C,"D"))</f>
        <v/>
      </c>
      <c r="BS41" s="747" t="str">
        <f>IF($B41=0,"",SUMIFS(INPUT_DATA!S:S,INPUT_DATA!$A:$A,$B41,INPUT_DATA!$C:$C,"D"))</f>
        <v/>
      </c>
      <c r="BT41" s="311" t="str">
        <f>IF($B41=0,"",SUMIFS(INPUT_DATA!T:T,INPUT_DATA!$A:$A,$B41,INPUT_DATA!$C:$C,"D"))</f>
        <v/>
      </c>
      <c r="BU41" s="311" t="str">
        <f>IF($B41=0,"",SUMIFS(INPUT_DATA!U:U,INPUT_DATA!$A:$A,$B41,INPUT_DATA!$C:$C,"D"))</f>
        <v/>
      </c>
      <c r="BV41" s="311" t="str">
        <f>IF($B41=0,"",SUMIFS(INPUT_DATA!V:V,INPUT_DATA!$A:$A,$B41,INPUT_DATA!$C:$C,"D"))</f>
        <v/>
      </c>
      <c r="BW41" s="311" t="str">
        <f>IF($B41=0,"",SUMIFS(INPUT_DATA!W:W,INPUT_DATA!$A:$A,$B41,INPUT_DATA!$C:$C,"D"))</f>
        <v/>
      </c>
      <c r="BX41" s="311" t="str">
        <f>IF($B41=0,"",SUMIFS(INPUT_DATA!X:X,INPUT_DATA!$A:$A,$B41,INPUT_DATA!$C:$C,"D"))</f>
        <v/>
      </c>
      <c r="BY41" s="311" t="str">
        <f>IF($B41=0,"",SUMIFS(INPUT_DATA!Y:Y,INPUT_DATA!$A:$A,$B41,INPUT_DATA!$C:$C,"D"))</f>
        <v/>
      </c>
      <c r="BZ41" s="352" t="str">
        <f>IF($B41=0,"",SUMIFS(INPUT_DATA!Z:Z,INPUT_DATA!$A:$A,$B41,INPUT_DATA!$C:$C,"D"))</f>
        <v/>
      </c>
      <c r="CA41" s="352" t="str">
        <f>IF($B41=0,"",SUMIFS(INPUT_DATA!AA:AA,INPUT_DATA!$A:$A,$B41,INPUT_DATA!$C:$C,"D"))</f>
        <v/>
      </c>
      <c r="CB41" s="352" t="str">
        <f>IF($B41=0,"",SUMIFS(INPUT_DATA!AB:AB,INPUT_DATA!$A:$A,$B41,INPUT_DATA!$C:$C,"D"))</f>
        <v/>
      </c>
      <c r="CC41" s="311" t="str">
        <f>IF($B41=0,"",SUMIFS(INPUT_DATA!AC:AC,INPUT_DATA!$A:$A,$B41,INPUT_DATA!$C:$C,"D"))</f>
        <v/>
      </c>
      <c r="CD41" s="311" t="str">
        <f>IF($B41=0,"",SUMIFS(INPUT_DATA!AD:AD,INPUT_DATA!$A:$A,$B41,INPUT_DATA!$C:$C,"D"))</f>
        <v/>
      </c>
      <c r="CE41" s="311" t="str">
        <f>IF($B41=0,"",SUMIFS(INPUT_DATA!AE:AE,INPUT_DATA!$A:$A,$B41,INPUT_DATA!$C:$C,"D"))</f>
        <v/>
      </c>
      <c r="CF41" s="352" t="str">
        <f>IF($B41=0,"",SUMIFS(INPUT_DATA!AF:AF,INPUT_DATA!$A:$A,$B41,INPUT_DATA!$C:$C,"D"))</f>
        <v/>
      </c>
      <c r="CG41" s="352" t="str">
        <f>IF($B41=0,"",SUMIFS(INPUT_DATA!AG:AG,INPUT_DATA!$A:$A,$B41,INPUT_DATA!$C:$C,"D"))</f>
        <v/>
      </c>
      <c r="CH41" s="352" t="str">
        <f>IF($B41=0,"",SUMIFS(INPUT_DATA!AH:AH,INPUT_DATA!$A:$A,$B41,INPUT_DATA!$C:$C,"D"))</f>
        <v/>
      </c>
      <c r="CI41" s="153" t="str">
        <f>IF($B41=0,"",SUMIFS(INPUT_DATA!AI:AI,INPUT_DATA!$A:$A,$B41,INPUT_DATA!$C:$C,"D"))</f>
        <v/>
      </c>
      <c r="CJ41" s="153" t="str">
        <f>IF($B41=0,"",SUMIFS(INPUT_DATA!AJ:AJ,INPUT_DATA!$A:$A,$B41,INPUT_DATA!$C:$C,"D"))</f>
        <v/>
      </c>
      <c r="CK41" s="153" t="str">
        <f>IF($B41=0,"",SUMIFS(INPUT_DATA!AK:AK,INPUT_DATA!$A:$A,$B41,INPUT_DATA!$C:$C,"D"))</f>
        <v/>
      </c>
      <c r="CL41" s="153" t="str">
        <f>IF($B41=0,"",SUMIFS(INPUT_DATA!AL:AL,INPUT_DATA!$A:$A,$B41,INPUT_DATA!$C:$C,"D"))</f>
        <v/>
      </c>
      <c r="CM41" s="153" t="str">
        <f>IF($B41=0,"",SUMIFS(INPUT_DATA!AM:AM,INPUT_DATA!$A:$A,$B41,INPUT_DATA!$C:$C,"D"))</f>
        <v/>
      </c>
      <c r="CN41" s="153" t="str">
        <f>IF($B41=0,"",SUMIFS(INPUT_DATA!AN:AN,INPUT_DATA!$A:$A,$B41,INPUT_DATA!$C:$C,"D"))</f>
        <v/>
      </c>
      <c r="CO41" s="153" t="str">
        <f>IF($B41=0,"",SUMIFS(INPUT_DATA!AO:AO,INPUT_DATA!$A:$A,$B41,INPUT_DATA!$C:$C,"D"))</f>
        <v/>
      </c>
      <c r="CP41" s="153" t="str">
        <f>IF($B41=0,"",SUMIFS(INPUT_DATA!AP:AP,INPUT_DATA!$A:$A,$B41,INPUT_DATA!$C:$C,"D"))</f>
        <v/>
      </c>
      <c r="CQ41" s="153" t="str">
        <f>IF($B41=0,"",SUMIFS(INPUT_DATA!AQ:AQ,INPUT_DATA!$A:$A,$B41,INPUT_DATA!$C:$C,"D"))</f>
        <v/>
      </c>
      <c r="CR41" s="737" t="str">
        <f t="shared" si="32"/>
        <v/>
      </c>
      <c r="CS41" s="737" t="str">
        <f t="shared" si="33"/>
        <v/>
      </c>
      <c r="CT41" s="737" t="str">
        <f t="shared" si="34"/>
        <v/>
      </c>
      <c r="CU41" s="726" t="str">
        <f>IF($B41=0,"",SUMIFS(INPUT_DATA!AR:AR,INPUT_DATA!$A:$A,$B41,INPUT_DATA!$C:$C,"D"))</f>
        <v/>
      </c>
      <c r="CV41" s="726" t="str">
        <f>IF($B41=0,"",SUMIFS(INPUT_DATA!AS:AS,INPUT_DATA!$A:$A,$B41,INPUT_DATA!$C:$C,"D"))</f>
        <v/>
      </c>
      <c r="CW41" s="726" t="str">
        <f>IF($B41=0,"",SUMIFS(INPUT_DATA!AT:AT,INPUT_DATA!$A:$A,$B41,INPUT_DATA!$C:$C,"D"))</f>
        <v/>
      </c>
      <c r="CX41" s="726" t="str">
        <f t="shared" si="35"/>
        <v/>
      </c>
      <c r="CY41" s="737" t="str">
        <f t="shared" si="36"/>
        <v/>
      </c>
      <c r="CZ41" s="748" t="str">
        <f t="shared" si="37"/>
        <v/>
      </c>
      <c r="DA41" s="150"/>
    </row>
    <row r="42" spans="1:105" x14ac:dyDescent="0.2">
      <c r="B42" s="720">
        <f>INPUT_DATA!BQ29</f>
        <v>0</v>
      </c>
      <c r="C42" s="725" t="str">
        <f>IF($B42=0,"",SUMIFS(INPUT_DATA!D:D,INPUT_DATA!$A:$A,$B42,INPUT_DATA!$C:$C,"S"))</f>
        <v/>
      </c>
      <c r="D42" s="726" t="str">
        <f>IF($B42=0,"",SUMIFS(INPUT_DATA!E:E,INPUT_DATA!$A:$A,$B42,INPUT_DATA!$C:$C,"S"))</f>
        <v/>
      </c>
      <c r="E42" s="727" t="str">
        <f>IF($B42=0,"",SUMIFS(INPUT_DATA!F:F,INPUT_DATA!$A:$A,$B42,INPUT_DATA!$C:$C,"S"))</f>
        <v/>
      </c>
      <c r="F42" s="727" t="str">
        <f>IF($B42=0,"",SUMIFS(INPUT_DATA!G:G,INPUT_DATA!$A:$A,$B42,INPUT_DATA!$C:$C,"S"))</f>
        <v/>
      </c>
      <c r="G42" s="727" t="str">
        <f>IF($B42=0,"",SUMIFS(INPUT_DATA!H:H,INPUT_DATA!$A:$A,$B42,INPUT_DATA!$C:$C,"S"))</f>
        <v/>
      </c>
      <c r="H42" s="727" t="str">
        <f>IF($B42=0,"",SUMIFS(INPUT_DATA!I:I,INPUT_DATA!$A:$A,$B42,INPUT_DATA!$C:$C,"S"))</f>
        <v/>
      </c>
      <c r="I42" s="727" t="str">
        <f>IF($B42=0,"",SUMIFS(INPUT_DATA!J:J,INPUT_DATA!$A:$A,$B42,INPUT_DATA!$C:$C,"S"))</f>
        <v/>
      </c>
      <c r="J42" s="727" t="str">
        <f>IF($B42=0,"",SUMIFS(INPUT_DATA!K:K,INPUT_DATA!$A:$A,$B42,INPUT_DATA!$C:$C,"S"))</f>
        <v/>
      </c>
      <c r="K42" s="727" t="str">
        <f>IF($B42=0,"",SUMIFS(INPUT_DATA!L:L,INPUT_DATA!$A:$A,$B42,INPUT_DATA!$C:$C,"S"))</f>
        <v/>
      </c>
      <c r="L42" s="727" t="str">
        <f>IF($B42=0,"",SUMIFS(INPUT_DATA!M:M,INPUT_DATA!$A:$A,$B42,INPUT_DATA!$C:$C,"S"))</f>
        <v/>
      </c>
      <c r="M42" s="727" t="str">
        <f>IF($B42=0,"",SUMIFS(INPUT_DATA!N:N,INPUT_DATA!$A:$A,$B42,INPUT_DATA!$C:$C,"S"))</f>
        <v/>
      </c>
      <c r="N42" s="727" t="str">
        <f>IF($B42=0,"",SUMIFS(INPUT_DATA!O:O,INPUT_DATA!$A:$A,$B42,INPUT_DATA!$C:$C,"S"))</f>
        <v/>
      </c>
      <c r="O42" s="728" t="str">
        <f t="shared" si="38"/>
        <v/>
      </c>
      <c r="P42" s="729" t="str">
        <f>IF($B42=0,"",SUMIFS(INPUT_DATA!P:P,INPUT_DATA!$A:$A,$B42,INPUT_DATA!$C:$C,"S"))</f>
        <v/>
      </c>
      <c r="Q42" s="729" t="str">
        <f t="shared" si="39"/>
        <v/>
      </c>
      <c r="R42" s="735" t="str">
        <f>IF($B42=0,"",SUMIFS(INPUT_DATA!Q:Q,INPUT_DATA!$A:$A,$B42,INPUT_DATA!$C:$C,"S"))</f>
        <v/>
      </c>
      <c r="S42" s="735" t="str">
        <f>IF($B42=0,"",SUMIFS(INPUT_DATA!R:R,INPUT_DATA!$A:$A,$B42,INPUT_DATA!$C:$C,"S"))</f>
        <v/>
      </c>
      <c r="T42" s="735" t="str">
        <f>IF($B42=0,"",SUMIFS(INPUT_DATA!S:S,INPUT_DATA!$A:$A,$B42,INPUT_DATA!$C:$C,"S"))</f>
        <v/>
      </c>
      <c r="U42" s="312" t="str">
        <f>IF($B42=0,"",SUMIFS(INPUT_DATA!T:T,INPUT_DATA!$A:$A,$B42,INPUT_DATA!$C:$C,"S"))</f>
        <v/>
      </c>
      <c r="V42" s="312" t="str">
        <f>IF($B42=0,"",SUMIFS(INPUT_DATA!U:U,INPUT_DATA!$A:$A,$B42,INPUT_DATA!$C:$C,"S"))</f>
        <v/>
      </c>
      <c r="W42" s="312" t="str">
        <f>IF($B42=0,"",SUMIFS(INPUT_DATA!V:V,INPUT_DATA!$A:$A,$B42,INPUT_DATA!$C:$C,"S"))</f>
        <v/>
      </c>
      <c r="X42" s="312" t="str">
        <f>IF($B42=0,"",SUMIFS(INPUT_DATA!W:W,INPUT_DATA!$A:$A,$B42,INPUT_DATA!$C:$C,"S"))</f>
        <v/>
      </c>
      <c r="Y42" s="312" t="str">
        <f>IF($B42=0,"",SUMIFS(INPUT_DATA!X:X,INPUT_DATA!$A:$A,$B42,INPUT_DATA!$C:$C,"S"))</f>
        <v/>
      </c>
      <c r="Z42" s="312" t="str">
        <f>IF($B42=0,"",SUMIFS(INPUT_DATA!Y:Y,INPUT_DATA!$A:$A,$B42,INPUT_DATA!$C:$C,"S"))</f>
        <v/>
      </c>
      <c r="AA42" s="312" t="str">
        <f>IF($B42=0,"",SUMIFS(INPUT_DATA!Z:Z,INPUT_DATA!$A:$A,$B42,INPUT_DATA!$C:$C,"S"))</f>
        <v/>
      </c>
      <c r="AB42" s="312" t="str">
        <f>IF($B42=0,"",SUMIFS(INPUT_DATA!AA:AA,INPUT_DATA!$A:$A,$B42,INPUT_DATA!$C:$C,"S"))</f>
        <v/>
      </c>
      <c r="AC42" s="312" t="str">
        <f>IF($B42=0,"",SUMIFS(INPUT_DATA!AB:AB,INPUT_DATA!$A:$A,$B42,INPUT_DATA!$C:$C,"S"))</f>
        <v/>
      </c>
      <c r="AD42" s="312" t="str">
        <f>IF($B42=0,"",SUMIFS(INPUT_DATA!AC:AC,INPUT_DATA!$A:$A,$B42,INPUT_DATA!$C:$C,"S"))</f>
        <v/>
      </c>
      <c r="AE42" s="312" t="str">
        <f>IF($B42=0,"",SUMIFS(INPUT_DATA!AD:AD,INPUT_DATA!$A:$A,$B42,INPUT_DATA!$C:$C,"S"))</f>
        <v/>
      </c>
      <c r="AF42" s="312" t="str">
        <f>IF($B42=0,"",SUMIFS(INPUT_DATA!AE:AE,INPUT_DATA!$A:$A,$B42,INPUT_DATA!$C:$C,"S"))</f>
        <v/>
      </c>
      <c r="AG42" s="312" t="str">
        <f>IF($B42=0,"",SUMIFS(INPUT_DATA!AF:AF,INPUT_DATA!$A:$A,$B42,INPUT_DATA!$C:$C,"S"))</f>
        <v/>
      </c>
      <c r="AH42" s="312" t="str">
        <f>IF($B42=0,"",SUMIFS(INPUT_DATA!AG:AG,INPUT_DATA!$A:$A,$B42,INPUT_DATA!$C:$C,"S"))</f>
        <v/>
      </c>
      <c r="AI42" s="312" t="str">
        <f>IF($B42=0,"",SUMIFS(INPUT_DATA!AH:AH,INPUT_DATA!$A:$A,$B42,INPUT_DATA!$C:$C,"S"))</f>
        <v/>
      </c>
      <c r="AJ42" s="312" t="str">
        <f>IF($B42=0,"",SUMIFS(INPUT_DATA!AI:AI,INPUT_DATA!$A:$A,$B42,INPUT_DATA!$C:$C,"S"))</f>
        <v/>
      </c>
      <c r="AK42" s="312" t="str">
        <f>IF($B42=0,"",SUMIFS(INPUT_DATA!AJ:AJ,INPUT_DATA!$A:$A,$B42,INPUT_DATA!$C:$C,"S"))</f>
        <v/>
      </c>
      <c r="AL42" s="312" t="str">
        <f>IF($B42=0,"",SUMIFS(INPUT_DATA!AK:AK,INPUT_DATA!$A:$A,$B42,INPUT_DATA!$C:$C,"S"))</f>
        <v/>
      </c>
      <c r="AM42" s="312" t="str">
        <f>IF($B42=0,"",SUMIFS(INPUT_DATA!AL:AL,INPUT_DATA!$A:$A,$B42,INPUT_DATA!$C:$C,"S"))</f>
        <v/>
      </c>
      <c r="AN42" s="312" t="str">
        <f>IF($B42=0,"",SUMIFS(INPUT_DATA!AM:AM,INPUT_DATA!$A:$A,$B42,INPUT_DATA!$C:$C,"S"))</f>
        <v/>
      </c>
      <c r="AO42" s="312" t="str">
        <f>IF($B42=0,"",SUMIFS(INPUT_DATA!AN:AN,INPUT_DATA!$A:$A,$B42,INPUT_DATA!$C:$C,"S"))</f>
        <v/>
      </c>
      <c r="AP42" s="312" t="str">
        <f>IF($B42=0,"",SUMIFS(INPUT_DATA!AO:AO,INPUT_DATA!$A:$A,$B42,INPUT_DATA!$C:$C,"S"))</f>
        <v/>
      </c>
      <c r="AQ42" s="312" t="str">
        <f>IF($B42=0,"",SUMIFS(INPUT_DATA!AP:AP,INPUT_DATA!$A:$A,$B42,INPUT_DATA!$C:$C,"S"))</f>
        <v/>
      </c>
      <c r="AR42" s="312" t="str">
        <f>IF($B42=0,"",SUMIFS(INPUT_DATA!AQ:AQ,INPUT_DATA!$A:$A,$B42,INPUT_DATA!$C:$C,"S"))</f>
        <v/>
      </c>
      <c r="AS42" s="736" t="str">
        <f t="shared" si="29"/>
        <v/>
      </c>
      <c r="AT42" s="737" t="str">
        <f t="shared" si="30"/>
        <v/>
      </c>
      <c r="AU42" s="738" t="str">
        <f t="shared" si="31"/>
        <v/>
      </c>
      <c r="AV42" s="736" t="str">
        <f>IF($B42=0,"",SUMIFS(INPUT_DATA!AR:AR,INPUT_DATA!$A:$A,$B42,INPUT_DATA!$C:$C,"S"))</f>
        <v/>
      </c>
      <c r="AW42" s="737" t="str">
        <f>IF($B42=0,"",SUMIFS(INPUT_DATA!AS:AS,INPUT_DATA!$A:$A,$B42,INPUT_DATA!$C:$C,"S"))</f>
        <v/>
      </c>
      <c r="AX42" s="738" t="str">
        <f>IF($B42=0,"",SUMIFS(INPUT_DATA!AT:AT,INPUT_DATA!$A:$A,$B42,INPUT_DATA!$C:$C,"S"))</f>
        <v/>
      </c>
      <c r="AY42" s="736" t="str">
        <f t="shared" si="15"/>
        <v/>
      </c>
      <c r="AZ42" s="737" t="str">
        <f t="shared" si="16"/>
        <v/>
      </c>
      <c r="BA42" s="738" t="str">
        <f t="shared" si="17"/>
        <v/>
      </c>
      <c r="BB42" s="150"/>
      <c r="BC42" s="725" t="str">
        <f>IF($B42=0,"",SUMIFS(INPUT_DATA!D:D,INPUT_DATA!$A:$A,$B42,INPUT_DATA!$C:$C,"D"))</f>
        <v/>
      </c>
      <c r="BD42" s="311" t="str">
        <f>IF($B42=0,"",SUMIFS(INPUT_DATA!F:F,INPUT_DATA!$A:$A,$B42,INPUT_DATA!$C:$C,"D"))</f>
        <v/>
      </c>
      <c r="BE42" s="311" t="str">
        <f>IF($B42=0,"",SUMIFS(INPUT_DATA!G:G,INPUT_DATA!$A:$A,$B42,INPUT_DATA!$C:$C,"D"))</f>
        <v/>
      </c>
      <c r="BF42" s="311" t="str">
        <f>IF($B42=0,"",SUMIFS(INPUT_DATA!H:H,INPUT_DATA!$A:$A,$B42,INPUT_DATA!$C:$C,"D"))</f>
        <v/>
      </c>
      <c r="BG42" s="311" t="str">
        <f>IF($B42=0,"",SUMIFS(INPUT_DATA!I:I,INPUT_DATA!$A:$A,$B42,INPUT_DATA!$C:$C,"D"))</f>
        <v/>
      </c>
      <c r="BH42" s="311" t="str">
        <f>IF($B42=0,"",SUMIFS(INPUT_DATA!J:J,INPUT_DATA!$A:$A,$B42,INPUT_DATA!$C:$C,"D"))</f>
        <v/>
      </c>
      <c r="BI42" s="311" t="str">
        <f>IF($B42=0,"",SUMIFS(INPUT_DATA!K:K,INPUT_DATA!$A:$A,$B42,INPUT_DATA!$C:$C,"D"))</f>
        <v/>
      </c>
      <c r="BJ42" s="311" t="str">
        <f>IF($B42=0,"",SUMIFS(INPUT_DATA!L:L,INPUT_DATA!$A:$A,$B42,INPUT_DATA!$C:$C,"D"))</f>
        <v/>
      </c>
      <c r="BK42" s="311" t="str">
        <f>IF($B42=0,"",SUMIFS(INPUT_DATA!M:M,INPUT_DATA!$A:$A,$B42,INPUT_DATA!$C:$C,"D"))</f>
        <v/>
      </c>
      <c r="BL42" s="311" t="str">
        <f>IF($B42=0,"",SUMIFS(INPUT_DATA!N:N,INPUT_DATA!$A:$A,$B42,INPUT_DATA!$C:$C,"D"))</f>
        <v/>
      </c>
      <c r="BM42" s="311" t="str">
        <f>IF($B42=0,"",SUMIFS(INPUT_DATA!O:O,INPUT_DATA!$A:$A,$B42,INPUT_DATA!$C:$C,"D"))</f>
        <v/>
      </c>
      <c r="BN42" s="741" t="str">
        <f t="shared" si="18"/>
        <v/>
      </c>
      <c r="BO42" s="741" t="str">
        <f>IF($B42=0,"",SUMIFS(INPUT_DATA!O:O,INPUT_DATA!$A:$A,$B42,INPUT_DATA!$C:$C,"D"))</f>
        <v/>
      </c>
      <c r="BP42" s="741" t="str">
        <f t="shared" si="19"/>
        <v/>
      </c>
      <c r="BQ42" s="725" t="str">
        <f>IF($B42=0,"",SUMIFS(INPUT_DATA!Q:Q,INPUT_DATA!$A:$A,$B42,INPUT_DATA!$C:$C,"D"))</f>
        <v/>
      </c>
      <c r="BR42" s="747" t="str">
        <f>IF($B42=0,"",SUMIFS(INPUT_DATA!R:R,INPUT_DATA!$A:$A,$B42,INPUT_DATA!$C:$C,"D"))</f>
        <v/>
      </c>
      <c r="BS42" s="747" t="str">
        <f>IF($B42=0,"",SUMIFS(INPUT_DATA!S:S,INPUT_DATA!$A:$A,$B42,INPUT_DATA!$C:$C,"D"))</f>
        <v/>
      </c>
      <c r="BT42" s="311" t="str">
        <f>IF($B42=0,"",SUMIFS(INPUT_DATA!T:T,INPUT_DATA!$A:$A,$B42,INPUT_DATA!$C:$C,"D"))</f>
        <v/>
      </c>
      <c r="BU42" s="311" t="str">
        <f>IF($B42=0,"",SUMIFS(INPUT_DATA!U:U,INPUT_DATA!$A:$A,$B42,INPUT_DATA!$C:$C,"D"))</f>
        <v/>
      </c>
      <c r="BV42" s="311" t="str">
        <f>IF($B42=0,"",SUMIFS(INPUT_DATA!V:V,INPUT_DATA!$A:$A,$B42,INPUT_DATA!$C:$C,"D"))</f>
        <v/>
      </c>
      <c r="BW42" s="311" t="str">
        <f>IF($B42=0,"",SUMIFS(INPUT_DATA!W:W,INPUT_DATA!$A:$A,$B42,INPUT_DATA!$C:$C,"D"))</f>
        <v/>
      </c>
      <c r="BX42" s="311" t="str">
        <f>IF($B42=0,"",SUMIFS(INPUT_DATA!X:X,INPUT_DATA!$A:$A,$B42,INPUT_DATA!$C:$C,"D"))</f>
        <v/>
      </c>
      <c r="BY42" s="311" t="str">
        <f>IF($B42=0,"",SUMIFS(INPUT_DATA!Y:Y,INPUT_DATA!$A:$A,$B42,INPUT_DATA!$C:$C,"D"))</f>
        <v/>
      </c>
      <c r="BZ42" s="352" t="str">
        <f>IF($B42=0,"",SUMIFS(INPUT_DATA!Z:Z,INPUT_DATA!$A:$A,$B42,INPUT_DATA!$C:$C,"D"))</f>
        <v/>
      </c>
      <c r="CA42" s="352" t="str">
        <f>IF($B42=0,"",SUMIFS(INPUT_DATA!AA:AA,INPUT_DATA!$A:$A,$B42,INPUT_DATA!$C:$C,"D"))</f>
        <v/>
      </c>
      <c r="CB42" s="352" t="str">
        <f>IF($B42=0,"",SUMIFS(INPUT_DATA!AB:AB,INPUT_DATA!$A:$A,$B42,INPUT_DATA!$C:$C,"D"))</f>
        <v/>
      </c>
      <c r="CC42" s="311" t="str">
        <f>IF($B42=0,"",SUMIFS(INPUT_DATA!AC:AC,INPUT_DATA!$A:$A,$B42,INPUT_DATA!$C:$C,"D"))</f>
        <v/>
      </c>
      <c r="CD42" s="311" t="str">
        <f>IF($B42=0,"",SUMIFS(INPUT_DATA!AD:AD,INPUT_DATA!$A:$A,$B42,INPUT_DATA!$C:$C,"D"))</f>
        <v/>
      </c>
      <c r="CE42" s="311" t="str">
        <f>IF($B42=0,"",SUMIFS(INPUT_DATA!AE:AE,INPUT_DATA!$A:$A,$B42,INPUT_DATA!$C:$C,"D"))</f>
        <v/>
      </c>
      <c r="CF42" s="352" t="str">
        <f>IF($B42=0,"",SUMIFS(INPUT_DATA!AF:AF,INPUT_DATA!$A:$A,$B42,INPUT_DATA!$C:$C,"D"))</f>
        <v/>
      </c>
      <c r="CG42" s="352" t="str">
        <f>IF($B42=0,"",SUMIFS(INPUT_DATA!AG:AG,INPUT_DATA!$A:$A,$B42,INPUT_DATA!$C:$C,"D"))</f>
        <v/>
      </c>
      <c r="CH42" s="352" t="str">
        <f>IF($B42=0,"",SUMIFS(INPUT_DATA!AH:AH,INPUT_DATA!$A:$A,$B42,INPUT_DATA!$C:$C,"D"))</f>
        <v/>
      </c>
      <c r="CI42" s="153" t="str">
        <f>IF($B42=0,"",SUMIFS(INPUT_DATA!AI:AI,INPUT_DATA!$A:$A,$B42,INPUT_DATA!$C:$C,"D"))</f>
        <v/>
      </c>
      <c r="CJ42" s="153" t="str">
        <f>IF($B42=0,"",SUMIFS(INPUT_DATA!AJ:AJ,INPUT_DATA!$A:$A,$B42,INPUT_DATA!$C:$C,"D"))</f>
        <v/>
      </c>
      <c r="CK42" s="153" t="str">
        <f>IF($B42=0,"",SUMIFS(INPUT_DATA!AK:AK,INPUT_DATA!$A:$A,$B42,INPUT_DATA!$C:$C,"D"))</f>
        <v/>
      </c>
      <c r="CL42" s="153" t="str">
        <f>IF($B42=0,"",SUMIFS(INPUT_DATA!AL:AL,INPUT_DATA!$A:$A,$B42,INPUT_DATA!$C:$C,"D"))</f>
        <v/>
      </c>
      <c r="CM42" s="153" t="str">
        <f>IF($B42=0,"",SUMIFS(INPUT_DATA!AM:AM,INPUT_DATA!$A:$A,$B42,INPUT_DATA!$C:$C,"D"))</f>
        <v/>
      </c>
      <c r="CN42" s="153" t="str">
        <f>IF($B42=0,"",SUMIFS(INPUT_DATA!AN:AN,INPUT_DATA!$A:$A,$B42,INPUT_DATA!$C:$C,"D"))</f>
        <v/>
      </c>
      <c r="CO42" s="153" t="str">
        <f>IF($B42=0,"",SUMIFS(INPUT_DATA!AO:AO,INPUT_DATA!$A:$A,$B42,INPUT_DATA!$C:$C,"D"))</f>
        <v/>
      </c>
      <c r="CP42" s="153" t="str">
        <f>IF($B42=0,"",SUMIFS(INPUT_DATA!AP:AP,INPUT_DATA!$A:$A,$B42,INPUT_DATA!$C:$C,"D"))</f>
        <v/>
      </c>
      <c r="CQ42" s="153" t="str">
        <f>IF($B42=0,"",SUMIFS(INPUT_DATA!AQ:AQ,INPUT_DATA!$A:$A,$B42,INPUT_DATA!$C:$C,"D"))</f>
        <v/>
      </c>
      <c r="CR42" s="737" t="str">
        <f t="shared" si="32"/>
        <v/>
      </c>
      <c r="CS42" s="737" t="str">
        <f t="shared" si="33"/>
        <v/>
      </c>
      <c r="CT42" s="737" t="str">
        <f t="shared" si="34"/>
        <v/>
      </c>
      <c r="CU42" s="726" t="str">
        <f>IF($B42=0,"",SUMIFS(INPUT_DATA!AR:AR,INPUT_DATA!$A:$A,$B42,INPUT_DATA!$C:$C,"D"))</f>
        <v/>
      </c>
      <c r="CV42" s="726" t="str">
        <f>IF($B42=0,"",SUMIFS(INPUT_DATA!AS:AS,INPUT_DATA!$A:$A,$B42,INPUT_DATA!$C:$C,"D"))</f>
        <v/>
      </c>
      <c r="CW42" s="726" t="str">
        <f>IF($B42=0,"",SUMIFS(INPUT_DATA!AT:AT,INPUT_DATA!$A:$A,$B42,INPUT_DATA!$C:$C,"D"))</f>
        <v/>
      </c>
      <c r="CX42" s="726" t="str">
        <f t="shared" si="35"/>
        <v/>
      </c>
      <c r="CY42" s="737" t="str">
        <f t="shared" si="36"/>
        <v/>
      </c>
      <c r="CZ42" s="748" t="str">
        <f t="shared" si="37"/>
        <v/>
      </c>
      <c r="DA42" s="150"/>
    </row>
    <row r="43" spans="1:105" x14ac:dyDescent="0.2">
      <c r="B43" s="720">
        <f>INPUT_DATA!BQ30</f>
        <v>0</v>
      </c>
      <c r="C43" s="725" t="str">
        <f>IF($B43=0,"",SUMIFS(INPUT_DATA!D:D,INPUT_DATA!$A:$A,$B43,INPUT_DATA!$C:$C,"S"))</f>
        <v/>
      </c>
      <c r="D43" s="726" t="str">
        <f>IF($B43=0,"",SUMIFS(INPUT_DATA!E:E,INPUT_DATA!$A:$A,$B43,INPUT_DATA!$C:$C,"S"))</f>
        <v/>
      </c>
      <c r="E43" s="727" t="str">
        <f>IF($B43=0,"",SUMIFS(INPUT_DATA!F:F,INPUT_DATA!$A:$A,$B43,INPUT_DATA!$C:$C,"S"))</f>
        <v/>
      </c>
      <c r="F43" s="727" t="str">
        <f>IF($B43=0,"",SUMIFS(INPUT_DATA!G:G,INPUT_DATA!$A:$A,$B43,INPUT_DATA!$C:$C,"S"))</f>
        <v/>
      </c>
      <c r="G43" s="727" t="str">
        <f>IF($B43=0,"",SUMIFS(INPUT_DATA!H:H,INPUT_DATA!$A:$A,$B43,INPUT_DATA!$C:$C,"S"))</f>
        <v/>
      </c>
      <c r="H43" s="727" t="str">
        <f>IF($B43=0,"",SUMIFS(INPUT_DATA!I:I,INPUT_DATA!$A:$A,$B43,INPUT_DATA!$C:$C,"S"))</f>
        <v/>
      </c>
      <c r="I43" s="727" t="str">
        <f>IF($B43=0,"",SUMIFS(INPUT_DATA!J:J,INPUT_DATA!$A:$A,$B43,INPUT_DATA!$C:$C,"S"))</f>
        <v/>
      </c>
      <c r="J43" s="727" t="str">
        <f>IF($B43=0,"",SUMIFS(INPUT_DATA!K:K,INPUT_DATA!$A:$A,$B43,INPUT_DATA!$C:$C,"S"))</f>
        <v/>
      </c>
      <c r="K43" s="727" t="str">
        <f>IF($B43=0,"",SUMIFS(INPUT_DATA!L:L,INPUT_DATA!$A:$A,$B43,INPUT_DATA!$C:$C,"S"))</f>
        <v/>
      </c>
      <c r="L43" s="727" t="str">
        <f>IF($B43=0,"",SUMIFS(INPUT_DATA!M:M,INPUT_DATA!$A:$A,$B43,INPUT_DATA!$C:$C,"S"))</f>
        <v/>
      </c>
      <c r="M43" s="727" t="str">
        <f>IF($B43=0,"",SUMIFS(INPUT_DATA!N:N,INPUT_DATA!$A:$A,$B43,INPUT_DATA!$C:$C,"S"))</f>
        <v/>
      </c>
      <c r="N43" s="727" t="str">
        <f>IF($B43=0,"",SUMIFS(INPUT_DATA!O:O,INPUT_DATA!$A:$A,$B43,INPUT_DATA!$C:$C,"S"))</f>
        <v/>
      </c>
      <c r="O43" s="728" t="str">
        <f t="shared" si="38"/>
        <v/>
      </c>
      <c r="P43" s="729" t="str">
        <f>IF($B43=0,"",SUMIFS(INPUT_DATA!P:P,INPUT_DATA!$A:$A,$B43,INPUT_DATA!$C:$C,"S"))</f>
        <v/>
      </c>
      <c r="Q43" s="729" t="str">
        <f t="shared" si="39"/>
        <v/>
      </c>
      <c r="R43" s="735" t="str">
        <f>IF($B43=0,"",SUMIFS(INPUT_DATA!Q:Q,INPUT_DATA!$A:$A,$B43,INPUT_DATA!$C:$C,"S"))</f>
        <v/>
      </c>
      <c r="S43" s="735" t="str">
        <f>IF($B43=0,"",SUMIFS(INPUT_DATA!R:R,INPUT_DATA!$A:$A,$B43,INPUT_DATA!$C:$C,"S"))</f>
        <v/>
      </c>
      <c r="T43" s="735" t="str">
        <f>IF($B43=0,"",SUMIFS(INPUT_DATA!S:S,INPUT_DATA!$A:$A,$B43,INPUT_DATA!$C:$C,"S"))</f>
        <v/>
      </c>
      <c r="U43" s="312" t="str">
        <f>IF($B43=0,"",SUMIFS(INPUT_DATA!T:T,INPUT_DATA!$A:$A,$B43,INPUT_DATA!$C:$C,"S"))</f>
        <v/>
      </c>
      <c r="V43" s="312" t="str">
        <f>IF($B43=0,"",SUMIFS(INPUT_DATA!U:U,INPUT_DATA!$A:$A,$B43,INPUT_DATA!$C:$C,"S"))</f>
        <v/>
      </c>
      <c r="W43" s="312" t="str">
        <f>IF($B43=0,"",SUMIFS(INPUT_DATA!V:V,INPUT_DATA!$A:$A,$B43,INPUT_DATA!$C:$C,"S"))</f>
        <v/>
      </c>
      <c r="X43" s="312" t="str">
        <f>IF($B43=0,"",SUMIFS(INPUT_DATA!W:W,INPUT_DATA!$A:$A,$B43,INPUT_DATA!$C:$C,"S"))</f>
        <v/>
      </c>
      <c r="Y43" s="312" t="str">
        <f>IF($B43=0,"",SUMIFS(INPUT_DATA!X:X,INPUT_DATA!$A:$A,$B43,INPUT_DATA!$C:$C,"S"))</f>
        <v/>
      </c>
      <c r="Z43" s="312" t="str">
        <f>IF($B43=0,"",SUMIFS(INPUT_DATA!Y:Y,INPUT_DATA!$A:$A,$B43,INPUT_DATA!$C:$C,"S"))</f>
        <v/>
      </c>
      <c r="AA43" s="312" t="str">
        <f>IF($B43=0,"",SUMIFS(INPUT_DATA!Z:Z,INPUT_DATA!$A:$A,$B43,INPUT_DATA!$C:$C,"S"))</f>
        <v/>
      </c>
      <c r="AB43" s="312" t="str">
        <f>IF($B43=0,"",SUMIFS(INPUT_DATA!AA:AA,INPUT_DATA!$A:$A,$B43,INPUT_DATA!$C:$C,"S"))</f>
        <v/>
      </c>
      <c r="AC43" s="312" t="str">
        <f>IF($B43=0,"",SUMIFS(INPUT_DATA!AB:AB,INPUT_DATA!$A:$A,$B43,INPUT_DATA!$C:$C,"S"))</f>
        <v/>
      </c>
      <c r="AD43" s="312" t="str">
        <f>IF($B43=0,"",SUMIFS(INPUT_DATA!AC:AC,INPUT_DATA!$A:$A,$B43,INPUT_DATA!$C:$C,"S"))</f>
        <v/>
      </c>
      <c r="AE43" s="312" t="str">
        <f>IF($B43=0,"",SUMIFS(INPUT_DATA!AD:AD,INPUT_DATA!$A:$A,$B43,INPUT_DATA!$C:$C,"S"))</f>
        <v/>
      </c>
      <c r="AF43" s="312" t="str">
        <f>IF($B43=0,"",SUMIFS(INPUT_DATA!AE:AE,INPUT_DATA!$A:$A,$B43,INPUT_DATA!$C:$C,"S"))</f>
        <v/>
      </c>
      <c r="AG43" s="312" t="str">
        <f>IF($B43=0,"",SUMIFS(INPUT_DATA!AF:AF,INPUT_DATA!$A:$A,$B43,INPUT_DATA!$C:$C,"S"))</f>
        <v/>
      </c>
      <c r="AH43" s="312" t="str">
        <f>IF($B43=0,"",SUMIFS(INPUT_DATA!AG:AG,INPUT_DATA!$A:$A,$B43,INPUT_DATA!$C:$C,"S"))</f>
        <v/>
      </c>
      <c r="AI43" s="312" t="str">
        <f>IF($B43=0,"",SUMIFS(INPUT_DATA!AH:AH,INPUT_DATA!$A:$A,$B43,INPUT_DATA!$C:$C,"S"))</f>
        <v/>
      </c>
      <c r="AJ43" s="312" t="str">
        <f>IF($B43=0,"",SUMIFS(INPUT_DATA!AI:AI,INPUT_DATA!$A:$A,$B43,INPUT_DATA!$C:$C,"S"))</f>
        <v/>
      </c>
      <c r="AK43" s="312" t="str">
        <f>IF($B43=0,"",SUMIFS(INPUT_DATA!AJ:AJ,INPUT_DATA!$A:$A,$B43,INPUT_DATA!$C:$C,"S"))</f>
        <v/>
      </c>
      <c r="AL43" s="312" t="str">
        <f>IF($B43=0,"",SUMIFS(INPUT_DATA!AK:AK,INPUT_DATA!$A:$A,$B43,INPUT_DATA!$C:$C,"S"))</f>
        <v/>
      </c>
      <c r="AM43" s="312" t="str">
        <f>IF($B43=0,"",SUMIFS(INPUT_DATA!AL:AL,INPUT_DATA!$A:$A,$B43,INPUT_DATA!$C:$C,"S"))</f>
        <v/>
      </c>
      <c r="AN43" s="312" t="str">
        <f>IF($B43=0,"",SUMIFS(INPUT_DATA!AM:AM,INPUT_DATA!$A:$A,$B43,INPUT_DATA!$C:$C,"S"))</f>
        <v/>
      </c>
      <c r="AO43" s="312" t="str">
        <f>IF($B43=0,"",SUMIFS(INPUT_DATA!AN:AN,INPUT_DATA!$A:$A,$B43,INPUT_DATA!$C:$C,"S"))</f>
        <v/>
      </c>
      <c r="AP43" s="312" t="str">
        <f>IF($B43=0,"",SUMIFS(INPUT_DATA!AO:AO,INPUT_DATA!$A:$A,$B43,INPUT_DATA!$C:$C,"S"))</f>
        <v/>
      </c>
      <c r="AQ43" s="312" t="str">
        <f>IF($B43=0,"",SUMIFS(INPUT_DATA!AP:AP,INPUT_DATA!$A:$A,$B43,INPUT_DATA!$C:$C,"S"))</f>
        <v/>
      </c>
      <c r="AR43" s="312" t="str">
        <f>IF($B43=0,"",SUMIFS(INPUT_DATA!AQ:AQ,INPUT_DATA!$A:$A,$B43,INPUT_DATA!$C:$C,"S"))</f>
        <v/>
      </c>
      <c r="AS43" s="736" t="str">
        <f t="shared" si="29"/>
        <v/>
      </c>
      <c r="AT43" s="737" t="str">
        <f t="shared" si="30"/>
        <v/>
      </c>
      <c r="AU43" s="738" t="str">
        <f t="shared" si="31"/>
        <v/>
      </c>
      <c r="AV43" s="736" t="str">
        <f>IF($B43=0,"",SUMIFS(INPUT_DATA!AR:AR,INPUT_DATA!$A:$A,$B43,INPUT_DATA!$C:$C,"S"))</f>
        <v/>
      </c>
      <c r="AW43" s="737" t="str">
        <f>IF($B43=0,"",SUMIFS(INPUT_DATA!AS:AS,INPUT_DATA!$A:$A,$B43,INPUT_DATA!$C:$C,"S"))</f>
        <v/>
      </c>
      <c r="AX43" s="738" t="str">
        <f>IF($B43=0,"",SUMIFS(INPUT_DATA!AT:AT,INPUT_DATA!$A:$A,$B43,INPUT_DATA!$C:$C,"S"))</f>
        <v/>
      </c>
      <c r="AY43" s="736" t="str">
        <f t="shared" si="15"/>
        <v/>
      </c>
      <c r="AZ43" s="737" t="str">
        <f t="shared" si="16"/>
        <v/>
      </c>
      <c r="BA43" s="738" t="str">
        <f t="shared" si="17"/>
        <v/>
      </c>
      <c r="BB43" s="150"/>
      <c r="BC43" s="725" t="str">
        <f>IF($B43=0,"",SUMIFS(INPUT_DATA!D:D,INPUT_DATA!$A:$A,$B43,INPUT_DATA!$C:$C,"D"))</f>
        <v/>
      </c>
      <c r="BD43" s="311" t="str">
        <f>IF($B43=0,"",SUMIFS(INPUT_DATA!F:F,INPUT_DATA!$A:$A,$B43,INPUT_DATA!$C:$C,"D"))</f>
        <v/>
      </c>
      <c r="BE43" s="311" t="str">
        <f>IF($B43=0,"",SUMIFS(INPUT_DATA!G:G,INPUT_DATA!$A:$A,$B43,INPUT_DATA!$C:$C,"D"))</f>
        <v/>
      </c>
      <c r="BF43" s="311" t="str">
        <f>IF($B43=0,"",SUMIFS(INPUT_DATA!H:H,INPUT_DATA!$A:$A,$B43,INPUT_DATA!$C:$C,"D"))</f>
        <v/>
      </c>
      <c r="BG43" s="311" t="str">
        <f>IF($B43=0,"",SUMIFS(INPUT_DATA!I:I,INPUT_DATA!$A:$A,$B43,INPUT_DATA!$C:$C,"D"))</f>
        <v/>
      </c>
      <c r="BH43" s="311" t="str">
        <f>IF($B43=0,"",SUMIFS(INPUT_DATA!J:J,INPUT_DATA!$A:$A,$B43,INPUT_DATA!$C:$C,"D"))</f>
        <v/>
      </c>
      <c r="BI43" s="311" t="str">
        <f>IF($B43=0,"",SUMIFS(INPUT_DATA!K:K,INPUT_DATA!$A:$A,$B43,INPUT_DATA!$C:$C,"D"))</f>
        <v/>
      </c>
      <c r="BJ43" s="311" t="str">
        <f>IF($B43=0,"",SUMIFS(INPUT_DATA!L:L,INPUT_DATA!$A:$A,$B43,INPUT_DATA!$C:$C,"D"))</f>
        <v/>
      </c>
      <c r="BK43" s="311" t="str">
        <f>IF($B43=0,"",SUMIFS(INPUT_DATA!M:M,INPUT_DATA!$A:$A,$B43,INPUT_DATA!$C:$C,"D"))</f>
        <v/>
      </c>
      <c r="BL43" s="311" t="str">
        <f>IF($B43=0,"",SUMIFS(INPUT_DATA!N:N,INPUT_DATA!$A:$A,$B43,INPUT_DATA!$C:$C,"D"))</f>
        <v/>
      </c>
      <c r="BM43" s="311" t="str">
        <f>IF($B43=0,"",SUMIFS(INPUT_DATA!O:O,INPUT_DATA!$A:$A,$B43,INPUT_DATA!$C:$C,"D"))</f>
        <v/>
      </c>
      <c r="BN43" s="741" t="str">
        <f t="shared" si="18"/>
        <v/>
      </c>
      <c r="BO43" s="741" t="str">
        <f>IF($B43=0,"",SUMIFS(INPUT_DATA!O:O,INPUT_DATA!$A:$A,$B43,INPUT_DATA!$C:$C,"D"))</f>
        <v/>
      </c>
      <c r="BP43" s="741" t="str">
        <f t="shared" si="19"/>
        <v/>
      </c>
      <c r="BQ43" s="725" t="str">
        <f>IF($B43=0,"",SUMIFS(INPUT_DATA!Q:Q,INPUT_DATA!$A:$A,$B43,INPUT_DATA!$C:$C,"D"))</f>
        <v/>
      </c>
      <c r="BR43" s="747" t="str">
        <f>IF($B43=0,"",SUMIFS(INPUT_DATA!R:R,INPUT_DATA!$A:$A,$B43,INPUT_DATA!$C:$C,"D"))</f>
        <v/>
      </c>
      <c r="BS43" s="747" t="str">
        <f>IF($B43=0,"",SUMIFS(INPUT_DATA!S:S,INPUT_DATA!$A:$A,$B43,INPUT_DATA!$C:$C,"D"))</f>
        <v/>
      </c>
      <c r="BT43" s="311" t="str">
        <f>IF($B43=0,"",SUMIFS(INPUT_DATA!T:T,INPUT_DATA!$A:$A,$B43,INPUT_DATA!$C:$C,"D"))</f>
        <v/>
      </c>
      <c r="BU43" s="311" t="str">
        <f>IF($B43=0,"",SUMIFS(INPUT_DATA!U:U,INPUT_DATA!$A:$A,$B43,INPUT_DATA!$C:$C,"D"))</f>
        <v/>
      </c>
      <c r="BV43" s="311" t="str">
        <f>IF($B43=0,"",SUMIFS(INPUT_DATA!V:V,INPUT_DATA!$A:$A,$B43,INPUT_DATA!$C:$C,"D"))</f>
        <v/>
      </c>
      <c r="BW43" s="311" t="str">
        <f>IF($B43=0,"",SUMIFS(INPUT_DATA!W:W,INPUT_DATA!$A:$A,$B43,INPUT_DATA!$C:$C,"D"))</f>
        <v/>
      </c>
      <c r="BX43" s="311" t="str">
        <f>IF($B43=0,"",SUMIFS(INPUT_DATA!X:X,INPUT_DATA!$A:$A,$B43,INPUT_DATA!$C:$C,"D"))</f>
        <v/>
      </c>
      <c r="BY43" s="311" t="str">
        <f>IF($B43=0,"",SUMIFS(INPUT_DATA!Y:Y,INPUT_DATA!$A:$A,$B43,INPUT_DATA!$C:$C,"D"))</f>
        <v/>
      </c>
      <c r="BZ43" s="352" t="str">
        <f>IF($B43=0,"",SUMIFS(INPUT_DATA!Z:Z,INPUT_DATA!$A:$A,$B43,INPUT_DATA!$C:$C,"D"))</f>
        <v/>
      </c>
      <c r="CA43" s="352" t="str">
        <f>IF($B43=0,"",SUMIFS(INPUT_DATA!AA:AA,INPUT_DATA!$A:$A,$B43,INPUT_DATA!$C:$C,"D"))</f>
        <v/>
      </c>
      <c r="CB43" s="352" t="str">
        <f>IF($B43=0,"",SUMIFS(INPUT_DATA!AB:AB,INPUT_DATA!$A:$A,$B43,INPUT_DATA!$C:$C,"D"))</f>
        <v/>
      </c>
      <c r="CC43" s="311" t="str">
        <f>IF($B43=0,"",SUMIFS(INPUT_DATA!AC:AC,INPUT_DATA!$A:$A,$B43,INPUT_DATA!$C:$C,"D"))</f>
        <v/>
      </c>
      <c r="CD43" s="311" t="str">
        <f>IF($B43=0,"",SUMIFS(INPUT_DATA!AD:AD,INPUT_DATA!$A:$A,$B43,INPUT_DATA!$C:$C,"D"))</f>
        <v/>
      </c>
      <c r="CE43" s="311" t="str">
        <f>IF($B43=0,"",SUMIFS(INPUT_DATA!AE:AE,INPUT_DATA!$A:$A,$B43,INPUT_DATA!$C:$C,"D"))</f>
        <v/>
      </c>
      <c r="CF43" s="352" t="str">
        <f>IF($B43=0,"",SUMIFS(INPUT_DATA!AF:AF,INPUT_DATA!$A:$A,$B43,INPUT_DATA!$C:$C,"D"))</f>
        <v/>
      </c>
      <c r="CG43" s="352" t="str">
        <f>IF($B43=0,"",SUMIFS(INPUT_DATA!AG:AG,INPUT_DATA!$A:$A,$B43,INPUT_DATA!$C:$C,"D"))</f>
        <v/>
      </c>
      <c r="CH43" s="352" t="str">
        <f>IF($B43=0,"",SUMIFS(INPUT_DATA!AH:AH,INPUT_DATA!$A:$A,$B43,INPUT_DATA!$C:$C,"D"))</f>
        <v/>
      </c>
      <c r="CI43" s="153" t="str">
        <f>IF($B43=0,"",SUMIFS(INPUT_DATA!AI:AI,INPUT_DATA!$A:$A,$B43,INPUT_DATA!$C:$C,"D"))</f>
        <v/>
      </c>
      <c r="CJ43" s="153" t="str">
        <f>IF($B43=0,"",SUMIFS(INPUT_DATA!AJ:AJ,INPUT_DATA!$A:$A,$B43,INPUT_DATA!$C:$C,"D"))</f>
        <v/>
      </c>
      <c r="CK43" s="153" t="str">
        <f>IF($B43=0,"",SUMIFS(INPUT_DATA!AK:AK,INPUT_DATA!$A:$A,$B43,INPUT_DATA!$C:$C,"D"))</f>
        <v/>
      </c>
      <c r="CL43" s="153" t="str">
        <f>IF($B43=0,"",SUMIFS(INPUT_DATA!AL:AL,INPUT_DATA!$A:$A,$B43,INPUT_DATA!$C:$C,"D"))</f>
        <v/>
      </c>
      <c r="CM43" s="153" t="str">
        <f>IF($B43=0,"",SUMIFS(INPUT_DATA!AM:AM,INPUT_DATA!$A:$A,$B43,INPUT_DATA!$C:$C,"D"))</f>
        <v/>
      </c>
      <c r="CN43" s="153" t="str">
        <f>IF($B43=0,"",SUMIFS(INPUT_DATA!AN:AN,INPUT_DATA!$A:$A,$B43,INPUT_DATA!$C:$C,"D"))</f>
        <v/>
      </c>
      <c r="CO43" s="153" t="str">
        <f>IF($B43=0,"",SUMIFS(INPUT_DATA!AO:AO,INPUT_DATA!$A:$A,$B43,INPUT_DATA!$C:$C,"D"))</f>
        <v/>
      </c>
      <c r="CP43" s="153" t="str">
        <f>IF($B43=0,"",SUMIFS(INPUT_DATA!AP:AP,INPUT_DATA!$A:$A,$B43,INPUT_DATA!$C:$C,"D"))</f>
        <v/>
      </c>
      <c r="CQ43" s="153" t="str">
        <f>IF($B43=0,"",SUMIFS(INPUT_DATA!AQ:AQ,INPUT_DATA!$A:$A,$B43,INPUT_DATA!$C:$C,"D"))</f>
        <v/>
      </c>
      <c r="CR43" s="737" t="str">
        <f t="shared" si="32"/>
        <v/>
      </c>
      <c r="CS43" s="737" t="str">
        <f t="shared" si="33"/>
        <v/>
      </c>
      <c r="CT43" s="737" t="str">
        <f t="shared" si="34"/>
        <v/>
      </c>
      <c r="CU43" s="726" t="str">
        <f>IF($B43=0,"",SUMIFS(INPUT_DATA!AR:AR,INPUT_DATA!$A:$A,$B43,INPUT_DATA!$C:$C,"D"))</f>
        <v/>
      </c>
      <c r="CV43" s="726" t="str">
        <f>IF($B43=0,"",SUMIFS(INPUT_DATA!AS:AS,INPUT_DATA!$A:$A,$B43,INPUT_DATA!$C:$C,"D"))</f>
        <v/>
      </c>
      <c r="CW43" s="726" t="str">
        <f>IF($B43=0,"",SUMIFS(INPUT_DATA!AT:AT,INPUT_DATA!$A:$A,$B43,INPUT_DATA!$C:$C,"D"))</f>
        <v/>
      </c>
      <c r="CX43" s="726" t="str">
        <f t="shared" si="35"/>
        <v/>
      </c>
      <c r="CY43" s="737" t="str">
        <f t="shared" si="36"/>
        <v/>
      </c>
      <c r="CZ43" s="748" t="str">
        <f t="shared" si="37"/>
        <v/>
      </c>
      <c r="DA43" s="150"/>
    </row>
    <row r="44" spans="1:105" x14ac:dyDescent="0.2">
      <c r="B44" s="720">
        <f>INPUT_DATA!BQ31</f>
        <v>0</v>
      </c>
      <c r="C44" s="725" t="str">
        <f>IF($B44=0,"",SUMIFS(INPUT_DATA!D:D,INPUT_DATA!$A:$A,$B44,INPUT_DATA!$C:$C,"S"))</f>
        <v/>
      </c>
      <c r="D44" s="726" t="str">
        <f>IF($B44=0,"",SUMIFS(INPUT_DATA!E:E,INPUT_DATA!$A:$A,$B44,INPUT_DATA!$C:$C,"S"))</f>
        <v/>
      </c>
      <c r="E44" s="727" t="str">
        <f>IF($B44=0,"",SUMIFS(INPUT_DATA!F:F,INPUT_DATA!$A:$A,$B44,INPUT_DATA!$C:$C,"S"))</f>
        <v/>
      </c>
      <c r="F44" s="727" t="str">
        <f>IF($B44=0,"",SUMIFS(INPUT_DATA!G:G,INPUT_DATA!$A:$A,$B44,INPUT_DATA!$C:$C,"S"))</f>
        <v/>
      </c>
      <c r="G44" s="727" t="str">
        <f>IF($B44=0,"",SUMIFS(INPUT_DATA!H:H,INPUT_DATA!$A:$A,$B44,INPUT_DATA!$C:$C,"S"))</f>
        <v/>
      </c>
      <c r="H44" s="727" t="str">
        <f>IF($B44=0,"",SUMIFS(INPUT_DATA!I:I,INPUT_DATA!$A:$A,$B44,INPUT_DATA!$C:$C,"S"))</f>
        <v/>
      </c>
      <c r="I44" s="727" t="str">
        <f>IF($B44=0,"",SUMIFS(INPUT_DATA!J:J,INPUT_DATA!$A:$A,$B44,INPUT_DATA!$C:$C,"S"))</f>
        <v/>
      </c>
      <c r="J44" s="727" t="str">
        <f>IF($B44=0,"",SUMIFS(INPUT_DATA!K:K,INPUT_DATA!$A:$A,$B44,INPUT_DATA!$C:$C,"S"))</f>
        <v/>
      </c>
      <c r="K44" s="727" t="str">
        <f>IF($B44=0,"",SUMIFS(INPUT_DATA!L:L,INPUT_DATA!$A:$A,$B44,INPUT_DATA!$C:$C,"S"))</f>
        <v/>
      </c>
      <c r="L44" s="727" t="str">
        <f>IF($B44=0,"",SUMIFS(INPUT_DATA!M:M,INPUT_DATA!$A:$A,$B44,INPUT_DATA!$C:$C,"S"))</f>
        <v/>
      </c>
      <c r="M44" s="727" t="str">
        <f>IF($B44=0,"",SUMIFS(INPUT_DATA!N:N,INPUT_DATA!$A:$A,$B44,INPUT_DATA!$C:$C,"S"))</f>
        <v/>
      </c>
      <c r="N44" s="727" t="str">
        <f>IF($B44=0,"",SUMIFS(INPUT_DATA!O:O,INPUT_DATA!$A:$A,$B44,INPUT_DATA!$C:$C,"S"))</f>
        <v/>
      </c>
      <c r="O44" s="728" t="str">
        <f t="shared" si="38"/>
        <v/>
      </c>
      <c r="P44" s="729" t="str">
        <f>IF($B44=0,"",SUMIFS(INPUT_DATA!P:P,INPUT_DATA!$A:$A,$B44,INPUT_DATA!$C:$C,"S"))</f>
        <v/>
      </c>
      <c r="Q44" s="729" t="str">
        <f t="shared" si="39"/>
        <v/>
      </c>
      <c r="R44" s="735" t="str">
        <f>IF($B44=0,"",SUMIFS(INPUT_DATA!Q:Q,INPUT_DATA!$A:$A,$B44,INPUT_DATA!$C:$C,"S"))</f>
        <v/>
      </c>
      <c r="S44" s="735" t="str">
        <f>IF($B44=0,"",SUMIFS(INPUT_DATA!R:R,INPUT_DATA!$A:$A,$B44,INPUT_DATA!$C:$C,"S"))</f>
        <v/>
      </c>
      <c r="T44" s="735" t="str">
        <f>IF($B44=0,"",SUMIFS(INPUT_DATA!S:S,INPUT_DATA!$A:$A,$B44,INPUT_DATA!$C:$C,"S"))</f>
        <v/>
      </c>
      <c r="U44" s="312" t="str">
        <f>IF($B44=0,"",SUMIFS(INPUT_DATA!T:T,INPUT_DATA!$A:$A,$B44,INPUT_DATA!$C:$C,"S"))</f>
        <v/>
      </c>
      <c r="V44" s="312" t="str">
        <f>IF($B44=0,"",SUMIFS(INPUT_DATA!U:U,INPUT_DATA!$A:$A,$B44,INPUT_DATA!$C:$C,"S"))</f>
        <v/>
      </c>
      <c r="W44" s="312" t="str">
        <f>IF($B44=0,"",SUMIFS(INPUT_DATA!V:V,INPUT_DATA!$A:$A,$B44,INPUT_DATA!$C:$C,"S"))</f>
        <v/>
      </c>
      <c r="X44" s="312" t="str">
        <f>IF($B44=0,"",SUMIFS(INPUT_DATA!W:W,INPUT_DATA!$A:$A,$B44,INPUT_DATA!$C:$C,"S"))</f>
        <v/>
      </c>
      <c r="Y44" s="312" t="str">
        <f>IF($B44=0,"",SUMIFS(INPUT_DATA!X:X,INPUT_DATA!$A:$A,$B44,INPUT_DATA!$C:$C,"S"))</f>
        <v/>
      </c>
      <c r="Z44" s="312" t="str">
        <f>IF($B44=0,"",SUMIFS(INPUT_DATA!Y:Y,INPUT_DATA!$A:$A,$B44,INPUT_DATA!$C:$C,"S"))</f>
        <v/>
      </c>
      <c r="AA44" s="312" t="str">
        <f>IF($B44=0,"",SUMIFS(INPUT_DATA!Z:Z,INPUT_DATA!$A:$A,$B44,INPUT_DATA!$C:$C,"S"))</f>
        <v/>
      </c>
      <c r="AB44" s="312" t="str">
        <f>IF($B44=0,"",SUMIFS(INPUT_DATA!AA:AA,INPUT_DATA!$A:$A,$B44,INPUT_DATA!$C:$C,"S"))</f>
        <v/>
      </c>
      <c r="AC44" s="312" t="str">
        <f>IF($B44=0,"",SUMIFS(INPUT_DATA!AB:AB,INPUT_DATA!$A:$A,$B44,INPUT_DATA!$C:$C,"S"))</f>
        <v/>
      </c>
      <c r="AD44" s="312" t="str">
        <f>IF($B44=0,"",SUMIFS(INPUT_DATA!AC:AC,INPUT_DATA!$A:$A,$B44,INPUT_DATA!$C:$C,"S"))</f>
        <v/>
      </c>
      <c r="AE44" s="312" t="str">
        <f>IF($B44=0,"",SUMIFS(INPUT_DATA!AD:AD,INPUT_DATA!$A:$A,$B44,INPUT_DATA!$C:$C,"S"))</f>
        <v/>
      </c>
      <c r="AF44" s="312" t="str">
        <f>IF($B44=0,"",SUMIFS(INPUT_DATA!AE:AE,INPUT_DATA!$A:$A,$B44,INPUT_DATA!$C:$C,"S"))</f>
        <v/>
      </c>
      <c r="AG44" s="312" t="str">
        <f>IF($B44=0,"",SUMIFS(INPUT_DATA!AF:AF,INPUT_DATA!$A:$A,$B44,INPUT_DATA!$C:$C,"S"))</f>
        <v/>
      </c>
      <c r="AH44" s="312" t="str">
        <f>IF($B44=0,"",SUMIFS(INPUT_DATA!AG:AG,INPUT_DATA!$A:$A,$B44,INPUT_DATA!$C:$C,"S"))</f>
        <v/>
      </c>
      <c r="AI44" s="312" t="str">
        <f>IF($B44=0,"",SUMIFS(INPUT_DATA!AH:AH,INPUT_DATA!$A:$A,$B44,INPUT_DATA!$C:$C,"S"))</f>
        <v/>
      </c>
      <c r="AJ44" s="312" t="str">
        <f>IF($B44=0,"",SUMIFS(INPUT_DATA!AI:AI,INPUT_DATA!$A:$A,$B44,INPUT_DATA!$C:$C,"S"))</f>
        <v/>
      </c>
      <c r="AK44" s="312" t="str">
        <f>IF($B44=0,"",SUMIFS(INPUT_DATA!AJ:AJ,INPUT_DATA!$A:$A,$B44,INPUT_DATA!$C:$C,"S"))</f>
        <v/>
      </c>
      <c r="AL44" s="312" t="str">
        <f>IF($B44=0,"",SUMIFS(INPUT_DATA!AK:AK,INPUT_DATA!$A:$A,$B44,INPUT_DATA!$C:$C,"S"))</f>
        <v/>
      </c>
      <c r="AM44" s="312" t="str">
        <f>IF($B44=0,"",SUMIFS(INPUT_DATA!AL:AL,INPUT_DATA!$A:$A,$B44,INPUT_DATA!$C:$C,"S"))</f>
        <v/>
      </c>
      <c r="AN44" s="312" t="str">
        <f>IF($B44=0,"",SUMIFS(INPUT_DATA!AM:AM,INPUT_DATA!$A:$A,$B44,INPUT_DATA!$C:$C,"S"))</f>
        <v/>
      </c>
      <c r="AO44" s="312" t="str">
        <f>IF($B44=0,"",SUMIFS(INPUT_DATA!AN:AN,INPUT_DATA!$A:$A,$B44,INPUT_DATA!$C:$C,"S"))</f>
        <v/>
      </c>
      <c r="AP44" s="312" t="str">
        <f>IF($B44=0,"",SUMIFS(INPUT_DATA!AO:AO,INPUT_DATA!$A:$A,$B44,INPUT_DATA!$C:$C,"S"))</f>
        <v/>
      </c>
      <c r="AQ44" s="312" t="str">
        <f>IF($B44=0,"",SUMIFS(INPUT_DATA!AP:AP,INPUT_DATA!$A:$A,$B44,INPUT_DATA!$C:$C,"S"))</f>
        <v/>
      </c>
      <c r="AR44" s="312" t="str">
        <f>IF($B44=0,"",SUMIFS(INPUT_DATA!AQ:AQ,INPUT_DATA!$A:$A,$B44,INPUT_DATA!$C:$C,"S"))</f>
        <v/>
      </c>
      <c r="AS44" s="736" t="str">
        <f t="shared" si="29"/>
        <v/>
      </c>
      <c r="AT44" s="737" t="str">
        <f t="shared" si="30"/>
        <v/>
      </c>
      <c r="AU44" s="738" t="str">
        <f t="shared" si="31"/>
        <v/>
      </c>
      <c r="AV44" s="736" t="str">
        <f>IF($B44=0,"",SUMIFS(INPUT_DATA!AR:AR,INPUT_DATA!$A:$A,$B44,INPUT_DATA!$C:$C,"S"))</f>
        <v/>
      </c>
      <c r="AW44" s="737" t="str">
        <f>IF($B44=0,"",SUMIFS(INPUT_DATA!AS:AS,INPUT_DATA!$A:$A,$B44,INPUT_DATA!$C:$C,"S"))</f>
        <v/>
      </c>
      <c r="AX44" s="738" t="str">
        <f>IF($B44=0,"",SUMIFS(INPUT_DATA!AT:AT,INPUT_DATA!$A:$A,$B44,INPUT_DATA!$C:$C,"S"))</f>
        <v/>
      </c>
      <c r="AY44" s="736" t="str">
        <f t="shared" si="15"/>
        <v/>
      </c>
      <c r="AZ44" s="737" t="str">
        <f t="shared" si="16"/>
        <v/>
      </c>
      <c r="BA44" s="738" t="str">
        <f t="shared" si="17"/>
        <v/>
      </c>
      <c r="BB44" s="150"/>
      <c r="BC44" s="725" t="str">
        <f>IF($B44=0,"",SUMIFS(INPUT_DATA!D:D,INPUT_DATA!$A:$A,$B44,INPUT_DATA!$C:$C,"D"))</f>
        <v/>
      </c>
      <c r="BD44" s="311" t="str">
        <f>IF($B44=0,"",SUMIFS(INPUT_DATA!F:F,INPUT_DATA!$A:$A,$B44,INPUT_DATA!$C:$C,"D"))</f>
        <v/>
      </c>
      <c r="BE44" s="311" t="str">
        <f>IF($B44=0,"",SUMIFS(INPUT_DATA!G:G,INPUT_DATA!$A:$A,$B44,INPUT_DATA!$C:$C,"D"))</f>
        <v/>
      </c>
      <c r="BF44" s="311" t="str">
        <f>IF($B44=0,"",SUMIFS(INPUT_DATA!H:H,INPUT_DATA!$A:$A,$B44,INPUT_DATA!$C:$C,"D"))</f>
        <v/>
      </c>
      <c r="BG44" s="311" t="str">
        <f>IF($B44=0,"",SUMIFS(INPUT_DATA!I:I,INPUT_DATA!$A:$A,$B44,INPUT_DATA!$C:$C,"D"))</f>
        <v/>
      </c>
      <c r="BH44" s="311" t="str">
        <f>IF($B44=0,"",SUMIFS(INPUT_DATA!J:J,INPUT_DATA!$A:$A,$B44,INPUT_DATA!$C:$C,"D"))</f>
        <v/>
      </c>
      <c r="BI44" s="311" t="str">
        <f>IF($B44=0,"",SUMIFS(INPUT_DATA!K:K,INPUT_DATA!$A:$A,$B44,INPUT_DATA!$C:$C,"D"))</f>
        <v/>
      </c>
      <c r="BJ44" s="311" t="str">
        <f>IF($B44=0,"",SUMIFS(INPUT_DATA!L:L,INPUT_DATA!$A:$A,$B44,INPUT_DATA!$C:$C,"D"))</f>
        <v/>
      </c>
      <c r="BK44" s="311" t="str">
        <f>IF($B44=0,"",SUMIFS(INPUT_DATA!M:M,INPUT_DATA!$A:$A,$B44,INPUT_DATA!$C:$C,"D"))</f>
        <v/>
      </c>
      <c r="BL44" s="311" t="str">
        <f>IF($B44=0,"",SUMIFS(INPUT_DATA!N:N,INPUT_DATA!$A:$A,$B44,INPUT_DATA!$C:$C,"D"))</f>
        <v/>
      </c>
      <c r="BM44" s="311" t="str">
        <f>IF($B44=0,"",SUMIFS(INPUT_DATA!O:O,INPUT_DATA!$A:$A,$B44,INPUT_DATA!$C:$C,"D"))</f>
        <v/>
      </c>
      <c r="BN44" s="741" t="str">
        <f t="shared" si="18"/>
        <v/>
      </c>
      <c r="BO44" s="741" t="str">
        <f>IF($B44=0,"",SUMIFS(INPUT_DATA!O:O,INPUT_DATA!$A:$A,$B44,INPUT_DATA!$C:$C,"D"))</f>
        <v/>
      </c>
      <c r="BP44" s="741" t="str">
        <f t="shared" si="19"/>
        <v/>
      </c>
      <c r="BQ44" s="725" t="str">
        <f>IF($B44=0,"",SUMIFS(INPUT_DATA!Q:Q,INPUT_DATA!$A:$A,$B44,INPUT_DATA!$C:$C,"D"))</f>
        <v/>
      </c>
      <c r="BR44" s="747" t="str">
        <f>IF($B44=0,"",SUMIFS(INPUT_DATA!R:R,INPUT_DATA!$A:$A,$B44,INPUT_DATA!$C:$C,"D"))</f>
        <v/>
      </c>
      <c r="BS44" s="747" t="str">
        <f>IF($B44=0,"",SUMIFS(INPUT_DATA!S:S,INPUT_DATA!$A:$A,$B44,INPUT_DATA!$C:$C,"D"))</f>
        <v/>
      </c>
      <c r="BT44" s="311" t="str">
        <f>IF($B44=0,"",SUMIFS(INPUT_DATA!T:T,INPUT_DATA!$A:$A,$B44,INPUT_DATA!$C:$C,"D"))</f>
        <v/>
      </c>
      <c r="BU44" s="311" t="str">
        <f>IF($B44=0,"",SUMIFS(INPUT_DATA!U:U,INPUT_DATA!$A:$A,$B44,INPUT_DATA!$C:$C,"D"))</f>
        <v/>
      </c>
      <c r="BV44" s="311" t="str">
        <f>IF($B44=0,"",SUMIFS(INPUT_DATA!V:V,INPUT_DATA!$A:$A,$B44,INPUT_DATA!$C:$C,"D"))</f>
        <v/>
      </c>
      <c r="BW44" s="311" t="str">
        <f>IF($B44=0,"",SUMIFS(INPUT_DATA!W:W,INPUT_DATA!$A:$A,$B44,INPUT_DATA!$C:$C,"D"))</f>
        <v/>
      </c>
      <c r="BX44" s="311" t="str">
        <f>IF($B44=0,"",SUMIFS(INPUT_DATA!X:X,INPUT_DATA!$A:$A,$B44,INPUT_DATA!$C:$C,"D"))</f>
        <v/>
      </c>
      <c r="BY44" s="311" t="str">
        <f>IF($B44=0,"",SUMIFS(INPUT_DATA!Y:Y,INPUT_DATA!$A:$A,$B44,INPUT_DATA!$C:$C,"D"))</f>
        <v/>
      </c>
      <c r="BZ44" s="352" t="str">
        <f>IF($B44=0,"",SUMIFS(INPUT_DATA!Z:Z,INPUT_DATA!$A:$A,$B44,INPUT_DATA!$C:$C,"D"))</f>
        <v/>
      </c>
      <c r="CA44" s="352" t="str">
        <f>IF($B44=0,"",SUMIFS(INPUT_DATA!AA:AA,INPUT_DATA!$A:$A,$B44,INPUT_DATA!$C:$C,"D"))</f>
        <v/>
      </c>
      <c r="CB44" s="352" t="str">
        <f>IF($B44=0,"",SUMIFS(INPUT_DATA!AB:AB,INPUT_DATA!$A:$A,$B44,INPUT_DATA!$C:$C,"D"))</f>
        <v/>
      </c>
      <c r="CC44" s="311" t="str">
        <f>IF($B44=0,"",SUMIFS(INPUT_DATA!AC:AC,INPUT_DATA!$A:$A,$B44,INPUT_DATA!$C:$C,"D"))</f>
        <v/>
      </c>
      <c r="CD44" s="311" t="str">
        <f>IF($B44=0,"",SUMIFS(INPUT_DATA!AD:AD,INPUT_DATA!$A:$A,$B44,INPUT_DATA!$C:$C,"D"))</f>
        <v/>
      </c>
      <c r="CE44" s="311" t="str">
        <f>IF($B44=0,"",SUMIFS(INPUT_DATA!AE:AE,INPUT_DATA!$A:$A,$B44,INPUT_DATA!$C:$C,"D"))</f>
        <v/>
      </c>
      <c r="CF44" s="352" t="str">
        <f>IF($B44=0,"",SUMIFS(INPUT_DATA!AF:AF,INPUT_DATA!$A:$A,$B44,INPUT_DATA!$C:$C,"D"))</f>
        <v/>
      </c>
      <c r="CG44" s="352" t="str">
        <f>IF($B44=0,"",SUMIFS(INPUT_DATA!AG:AG,INPUT_DATA!$A:$A,$B44,INPUT_DATA!$C:$C,"D"))</f>
        <v/>
      </c>
      <c r="CH44" s="352" t="str">
        <f>IF($B44=0,"",SUMIFS(INPUT_DATA!AH:AH,INPUT_DATA!$A:$A,$B44,INPUT_DATA!$C:$C,"D"))</f>
        <v/>
      </c>
      <c r="CI44" s="153" t="str">
        <f>IF($B44=0,"",SUMIFS(INPUT_DATA!AI:AI,INPUT_DATA!$A:$A,$B44,INPUT_DATA!$C:$C,"D"))</f>
        <v/>
      </c>
      <c r="CJ44" s="153" t="str">
        <f>IF($B44=0,"",SUMIFS(INPUT_DATA!AJ:AJ,INPUT_DATA!$A:$A,$B44,INPUT_DATA!$C:$C,"D"))</f>
        <v/>
      </c>
      <c r="CK44" s="153" t="str">
        <f>IF($B44=0,"",SUMIFS(INPUT_DATA!AK:AK,INPUT_DATA!$A:$A,$B44,INPUT_DATA!$C:$C,"D"))</f>
        <v/>
      </c>
      <c r="CL44" s="153" t="str">
        <f>IF($B44=0,"",SUMIFS(INPUT_DATA!AL:AL,INPUT_DATA!$A:$A,$B44,INPUT_DATA!$C:$C,"D"))</f>
        <v/>
      </c>
      <c r="CM44" s="153" t="str">
        <f>IF($B44=0,"",SUMIFS(INPUT_DATA!AM:AM,INPUT_DATA!$A:$A,$B44,INPUT_DATA!$C:$C,"D"))</f>
        <v/>
      </c>
      <c r="CN44" s="153" t="str">
        <f>IF($B44=0,"",SUMIFS(INPUT_DATA!AN:AN,INPUT_DATA!$A:$A,$B44,INPUT_DATA!$C:$C,"D"))</f>
        <v/>
      </c>
      <c r="CO44" s="153" t="str">
        <f>IF($B44=0,"",SUMIFS(INPUT_DATA!AO:AO,INPUT_DATA!$A:$A,$B44,INPUT_DATA!$C:$C,"D"))</f>
        <v/>
      </c>
      <c r="CP44" s="153" t="str">
        <f>IF($B44=0,"",SUMIFS(INPUT_DATA!AP:AP,INPUT_DATA!$A:$A,$B44,INPUT_DATA!$C:$C,"D"))</f>
        <v/>
      </c>
      <c r="CQ44" s="153" t="str">
        <f>IF($B44=0,"",SUMIFS(INPUT_DATA!AQ:AQ,INPUT_DATA!$A:$A,$B44,INPUT_DATA!$C:$C,"D"))</f>
        <v/>
      </c>
      <c r="CR44" s="737" t="str">
        <f t="shared" si="32"/>
        <v/>
      </c>
      <c r="CS44" s="737" t="str">
        <f t="shared" si="33"/>
        <v/>
      </c>
      <c r="CT44" s="737" t="str">
        <f t="shared" si="34"/>
        <v/>
      </c>
      <c r="CU44" s="726" t="str">
        <f>IF($B44=0,"",SUMIFS(INPUT_DATA!AR:AR,INPUT_DATA!$A:$A,$B44,INPUT_DATA!$C:$C,"D"))</f>
        <v/>
      </c>
      <c r="CV44" s="726" t="str">
        <f>IF($B44=0,"",SUMIFS(INPUT_DATA!AS:AS,INPUT_DATA!$A:$A,$B44,INPUT_DATA!$C:$C,"D"))</f>
        <v/>
      </c>
      <c r="CW44" s="726" t="str">
        <f>IF($B44=0,"",SUMIFS(INPUT_DATA!AT:AT,INPUT_DATA!$A:$A,$B44,INPUT_DATA!$C:$C,"D"))</f>
        <v/>
      </c>
      <c r="CX44" s="726" t="str">
        <f t="shared" si="35"/>
        <v/>
      </c>
      <c r="CY44" s="737" t="str">
        <f t="shared" si="36"/>
        <v/>
      </c>
      <c r="CZ44" s="748" t="str">
        <f t="shared" si="37"/>
        <v/>
      </c>
      <c r="DA44" s="150"/>
    </row>
    <row r="45" spans="1:105" x14ac:dyDescent="0.2">
      <c r="B45" s="720">
        <f>INPUT_DATA!BQ32</f>
        <v>0</v>
      </c>
      <c r="C45" s="725" t="str">
        <f>IF($B45=0,"",SUMIFS(INPUT_DATA!D:D,INPUT_DATA!$A:$A,$B45,INPUT_DATA!$C:$C,"S"))</f>
        <v/>
      </c>
      <c r="D45" s="726" t="str">
        <f>IF($B45=0,"",SUMIFS(INPUT_DATA!E:E,INPUT_DATA!$A:$A,$B45,INPUT_DATA!$C:$C,"S"))</f>
        <v/>
      </c>
      <c r="E45" s="727" t="str">
        <f>IF($B45=0,"",SUMIFS(INPUT_DATA!F:F,INPUT_DATA!$A:$A,$B45,INPUT_DATA!$C:$C,"S"))</f>
        <v/>
      </c>
      <c r="F45" s="727" t="str">
        <f>IF($B45=0,"",SUMIFS(INPUT_DATA!G:G,INPUT_DATA!$A:$A,$B45,INPUT_DATA!$C:$C,"S"))</f>
        <v/>
      </c>
      <c r="G45" s="727" t="str">
        <f>IF($B45=0,"",SUMIFS(INPUT_DATA!H:H,INPUT_DATA!$A:$A,$B45,INPUT_DATA!$C:$C,"S"))</f>
        <v/>
      </c>
      <c r="H45" s="727" t="str">
        <f>IF($B45=0,"",SUMIFS(INPUT_DATA!I:I,INPUT_DATA!$A:$A,$B45,INPUT_DATA!$C:$C,"S"))</f>
        <v/>
      </c>
      <c r="I45" s="727" t="str">
        <f>IF($B45=0,"",SUMIFS(INPUT_DATA!J:J,INPUT_DATA!$A:$A,$B45,INPUT_DATA!$C:$C,"S"))</f>
        <v/>
      </c>
      <c r="J45" s="727" t="str">
        <f>IF($B45=0,"",SUMIFS(INPUT_DATA!K:K,INPUT_DATA!$A:$A,$B45,INPUT_DATA!$C:$C,"S"))</f>
        <v/>
      </c>
      <c r="K45" s="727" t="str">
        <f>IF($B45=0,"",SUMIFS(INPUT_DATA!L:L,INPUT_DATA!$A:$A,$B45,INPUT_DATA!$C:$C,"S"))</f>
        <v/>
      </c>
      <c r="L45" s="727" t="str">
        <f>IF($B45=0,"",SUMIFS(INPUT_DATA!M:M,INPUT_DATA!$A:$A,$B45,INPUT_DATA!$C:$C,"S"))</f>
        <v/>
      </c>
      <c r="M45" s="727" t="str">
        <f>IF($B45=0,"",SUMIFS(INPUT_DATA!N:N,INPUT_DATA!$A:$A,$B45,INPUT_DATA!$C:$C,"S"))</f>
        <v/>
      </c>
      <c r="N45" s="727" t="str">
        <f>IF($B45=0,"",SUMIFS(INPUT_DATA!O:O,INPUT_DATA!$A:$A,$B45,INPUT_DATA!$C:$C,"S"))</f>
        <v/>
      </c>
      <c r="O45" s="728" t="str">
        <f t="shared" si="38"/>
        <v/>
      </c>
      <c r="P45" s="729" t="str">
        <f>IF($B45=0,"",SUMIFS(INPUT_DATA!P:P,INPUT_DATA!$A:$A,$B45,INPUT_DATA!$C:$C,"S"))</f>
        <v/>
      </c>
      <c r="Q45" s="729" t="str">
        <f t="shared" si="39"/>
        <v/>
      </c>
      <c r="R45" s="735" t="str">
        <f>IF($B45=0,"",SUMIFS(INPUT_DATA!Q:Q,INPUT_DATA!$A:$A,$B45,INPUT_DATA!$C:$C,"S"))</f>
        <v/>
      </c>
      <c r="S45" s="735" t="str">
        <f>IF($B45=0,"",SUMIFS(INPUT_DATA!R:R,INPUT_DATA!$A:$A,$B45,INPUT_DATA!$C:$C,"S"))</f>
        <v/>
      </c>
      <c r="T45" s="735" t="str">
        <f>IF($B45=0,"",SUMIFS(INPUT_DATA!S:S,INPUT_DATA!$A:$A,$B45,INPUT_DATA!$C:$C,"S"))</f>
        <v/>
      </c>
      <c r="U45" s="312" t="str">
        <f>IF($B45=0,"",SUMIFS(INPUT_DATA!T:T,INPUT_DATA!$A:$A,$B45,INPUT_DATA!$C:$C,"S"))</f>
        <v/>
      </c>
      <c r="V45" s="312" t="str">
        <f>IF($B45=0,"",SUMIFS(INPUT_DATA!U:U,INPUT_DATA!$A:$A,$B45,INPUT_DATA!$C:$C,"S"))</f>
        <v/>
      </c>
      <c r="W45" s="312" t="str">
        <f>IF($B45=0,"",SUMIFS(INPUT_DATA!V:V,INPUT_DATA!$A:$A,$B45,INPUT_DATA!$C:$C,"S"))</f>
        <v/>
      </c>
      <c r="X45" s="312" t="str">
        <f>IF($B45=0,"",SUMIFS(INPUT_DATA!W:W,INPUT_DATA!$A:$A,$B45,INPUT_DATA!$C:$C,"S"))</f>
        <v/>
      </c>
      <c r="Y45" s="312" t="str">
        <f>IF($B45=0,"",SUMIFS(INPUT_DATA!X:X,INPUT_DATA!$A:$A,$B45,INPUT_DATA!$C:$C,"S"))</f>
        <v/>
      </c>
      <c r="Z45" s="312" t="str">
        <f>IF($B45=0,"",SUMIFS(INPUT_DATA!Y:Y,INPUT_DATA!$A:$A,$B45,INPUT_DATA!$C:$C,"S"))</f>
        <v/>
      </c>
      <c r="AA45" s="312" t="str">
        <f>IF($B45=0,"",SUMIFS(INPUT_DATA!Z:Z,INPUT_DATA!$A:$A,$B45,INPUT_DATA!$C:$C,"S"))</f>
        <v/>
      </c>
      <c r="AB45" s="312" t="str">
        <f>IF($B45=0,"",SUMIFS(INPUT_DATA!AA:AA,INPUT_DATA!$A:$A,$B45,INPUT_DATA!$C:$C,"S"))</f>
        <v/>
      </c>
      <c r="AC45" s="312" t="str">
        <f>IF($B45=0,"",SUMIFS(INPUT_DATA!AB:AB,INPUT_DATA!$A:$A,$B45,INPUT_DATA!$C:$C,"S"))</f>
        <v/>
      </c>
      <c r="AD45" s="312" t="str">
        <f>IF($B45=0,"",SUMIFS(INPUT_DATA!AC:AC,INPUT_DATA!$A:$A,$B45,INPUT_DATA!$C:$C,"S"))</f>
        <v/>
      </c>
      <c r="AE45" s="312" t="str">
        <f>IF($B45=0,"",SUMIFS(INPUT_DATA!AD:AD,INPUT_DATA!$A:$A,$B45,INPUT_DATA!$C:$C,"S"))</f>
        <v/>
      </c>
      <c r="AF45" s="312" t="str">
        <f>IF($B45=0,"",SUMIFS(INPUT_DATA!AE:AE,INPUT_DATA!$A:$A,$B45,INPUT_DATA!$C:$C,"S"))</f>
        <v/>
      </c>
      <c r="AG45" s="312" t="str">
        <f>IF($B45=0,"",SUMIFS(INPUT_DATA!AF:AF,INPUT_DATA!$A:$A,$B45,INPUT_DATA!$C:$C,"S"))</f>
        <v/>
      </c>
      <c r="AH45" s="312" t="str">
        <f>IF($B45=0,"",SUMIFS(INPUT_DATA!AG:AG,INPUT_DATA!$A:$A,$B45,INPUT_DATA!$C:$C,"S"))</f>
        <v/>
      </c>
      <c r="AI45" s="312" t="str">
        <f>IF($B45=0,"",SUMIFS(INPUT_DATA!AH:AH,INPUT_DATA!$A:$A,$B45,INPUT_DATA!$C:$C,"S"))</f>
        <v/>
      </c>
      <c r="AJ45" s="312" t="str">
        <f>IF($B45=0,"",SUMIFS(INPUT_DATA!AI:AI,INPUT_DATA!$A:$A,$B45,INPUT_DATA!$C:$C,"S"))</f>
        <v/>
      </c>
      <c r="AK45" s="312" t="str">
        <f>IF($B45=0,"",SUMIFS(INPUT_DATA!AJ:AJ,INPUT_DATA!$A:$A,$B45,INPUT_DATA!$C:$C,"S"))</f>
        <v/>
      </c>
      <c r="AL45" s="312" t="str">
        <f>IF($B45=0,"",SUMIFS(INPUT_DATA!AK:AK,INPUT_DATA!$A:$A,$B45,INPUT_DATA!$C:$C,"S"))</f>
        <v/>
      </c>
      <c r="AM45" s="312" t="str">
        <f>IF($B45=0,"",SUMIFS(INPUT_DATA!AL:AL,INPUT_DATA!$A:$A,$B45,INPUT_DATA!$C:$C,"S"))</f>
        <v/>
      </c>
      <c r="AN45" s="312" t="str">
        <f>IF($B45=0,"",SUMIFS(INPUT_DATA!AM:AM,INPUT_DATA!$A:$A,$B45,INPUT_DATA!$C:$C,"S"))</f>
        <v/>
      </c>
      <c r="AO45" s="312" t="str">
        <f>IF($B45=0,"",SUMIFS(INPUT_DATA!AN:AN,INPUT_DATA!$A:$A,$B45,INPUT_DATA!$C:$C,"S"))</f>
        <v/>
      </c>
      <c r="AP45" s="312" t="str">
        <f>IF($B45=0,"",SUMIFS(INPUT_DATA!AO:AO,INPUT_DATA!$A:$A,$B45,INPUT_DATA!$C:$C,"S"))</f>
        <v/>
      </c>
      <c r="AQ45" s="312" t="str">
        <f>IF($B45=0,"",SUMIFS(INPUT_DATA!AP:AP,INPUT_DATA!$A:$A,$B45,INPUT_DATA!$C:$C,"S"))</f>
        <v/>
      </c>
      <c r="AR45" s="312" t="str">
        <f>IF($B45=0,"",SUMIFS(INPUT_DATA!AQ:AQ,INPUT_DATA!$A:$A,$B45,INPUT_DATA!$C:$C,"S"))</f>
        <v/>
      </c>
      <c r="AS45" s="736" t="str">
        <f t="shared" si="29"/>
        <v/>
      </c>
      <c r="AT45" s="737" t="str">
        <f t="shared" si="30"/>
        <v/>
      </c>
      <c r="AU45" s="738" t="str">
        <f t="shared" si="31"/>
        <v/>
      </c>
      <c r="AV45" s="736" t="str">
        <f>IF($B45=0,"",SUMIFS(INPUT_DATA!AR:AR,INPUT_DATA!$A:$A,$B45,INPUT_DATA!$C:$C,"S"))</f>
        <v/>
      </c>
      <c r="AW45" s="737" t="str">
        <f>IF($B45=0,"",SUMIFS(INPUT_DATA!AS:AS,INPUT_DATA!$A:$A,$B45,INPUT_DATA!$C:$C,"S"))</f>
        <v/>
      </c>
      <c r="AX45" s="738" t="str">
        <f>IF($B45=0,"",SUMIFS(INPUT_DATA!AT:AT,INPUT_DATA!$A:$A,$B45,INPUT_DATA!$C:$C,"S"))</f>
        <v/>
      </c>
      <c r="AY45" s="736" t="str">
        <f t="shared" si="15"/>
        <v/>
      </c>
      <c r="AZ45" s="737" t="str">
        <f t="shared" si="16"/>
        <v/>
      </c>
      <c r="BA45" s="738" t="str">
        <f t="shared" si="17"/>
        <v/>
      </c>
      <c r="BB45" s="150"/>
      <c r="BC45" s="725" t="str">
        <f>IF($B45=0,"",SUMIFS(INPUT_DATA!D:D,INPUT_DATA!$A:$A,$B45,INPUT_DATA!$C:$C,"D"))</f>
        <v/>
      </c>
      <c r="BD45" s="311" t="str">
        <f>IF($B45=0,"",SUMIFS(INPUT_DATA!F:F,INPUT_DATA!$A:$A,$B45,INPUT_DATA!$C:$C,"D"))</f>
        <v/>
      </c>
      <c r="BE45" s="311" t="str">
        <f>IF($B45=0,"",SUMIFS(INPUT_DATA!G:G,INPUT_DATA!$A:$A,$B45,INPUT_DATA!$C:$C,"D"))</f>
        <v/>
      </c>
      <c r="BF45" s="311" t="str">
        <f>IF($B45=0,"",SUMIFS(INPUT_DATA!H:H,INPUT_DATA!$A:$A,$B45,INPUT_DATA!$C:$C,"D"))</f>
        <v/>
      </c>
      <c r="BG45" s="311" t="str">
        <f>IF($B45=0,"",SUMIFS(INPUT_DATA!I:I,INPUT_DATA!$A:$A,$B45,INPUT_DATA!$C:$C,"D"))</f>
        <v/>
      </c>
      <c r="BH45" s="311" t="str">
        <f>IF($B45=0,"",SUMIFS(INPUT_DATA!J:J,INPUT_DATA!$A:$A,$B45,INPUT_DATA!$C:$C,"D"))</f>
        <v/>
      </c>
      <c r="BI45" s="311" t="str">
        <f>IF($B45=0,"",SUMIFS(INPUT_DATA!K:K,INPUT_DATA!$A:$A,$B45,INPUT_DATA!$C:$C,"D"))</f>
        <v/>
      </c>
      <c r="BJ45" s="311" t="str">
        <f>IF($B45=0,"",SUMIFS(INPUT_DATA!L:L,INPUT_DATA!$A:$A,$B45,INPUT_DATA!$C:$C,"D"))</f>
        <v/>
      </c>
      <c r="BK45" s="311" t="str">
        <f>IF($B45=0,"",SUMIFS(INPUT_DATA!M:M,INPUT_DATA!$A:$A,$B45,INPUT_DATA!$C:$C,"D"))</f>
        <v/>
      </c>
      <c r="BL45" s="311" t="str">
        <f>IF($B45=0,"",SUMIFS(INPUT_DATA!N:N,INPUT_DATA!$A:$A,$B45,INPUT_DATA!$C:$C,"D"))</f>
        <v/>
      </c>
      <c r="BM45" s="311" t="str">
        <f>IF($B45=0,"",SUMIFS(INPUT_DATA!O:O,INPUT_DATA!$A:$A,$B45,INPUT_DATA!$C:$C,"D"))</f>
        <v/>
      </c>
      <c r="BN45" s="741" t="str">
        <f t="shared" si="18"/>
        <v/>
      </c>
      <c r="BO45" s="741" t="str">
        <f>IF($B45=0,"",SUMIFS(INPUT_DATA!O:O,INPUT_DATA!$A:$A,$B45,INPUT_DATA!$C:$C,"D"))</f>
        <v/>
      </c>
      <c r="BP45" s="741" t="str">
        <f t="shared" si="19"/>
        <v/>
      </c>
      <c r="BQ45" s="725" t="str">
        <f>IF($B45=0,"",SUMIFS(INPUT_DATA!Q:Q,INPUT_DATA!$A:$A,$B45,INPUT_DATA!$C:$C,"D"))</f>
        <v/>
      </c>
      <c r="BR45" s="747" t="str">
        <f>IF($B45=0,"",SUMIFS(INPUT_DATA!R:R,INPUT_DATA!$A:$A,$B45,INPUT_DATA!$C:$C,"D"))</f>
        <v/>
      </c>
      <c r="BS45" s="747" t="str">
        <f>IF($B45=0,"",SUMIFS(INPUT_DATA!S:S,INPUT_DATA!$A:$A,$B45,INPUT_DATA!$C:$C,"D"))</f>
        <v/>
      </c>
      <c r="BT45" s="311" t="str">
        <f>IF($B45=0,"",SUMIFS(INPUT_DATA!T:T,INPUT_DATA!$A:$A,$B45,INPUT_DATA!$C:$C,"D"))</f>
        <v/>
      </c>
      <c r="BU45" s="311" t="str">
        <f>IF($B45=0,"",SUMIFS(INPUT_DATA!U:U,INPUT_DATA!$A:$A,$B45,INPUT_DATA!$C:$C,"D"))</f>
        <v/>
      </c>
      <c r="BV45" s="311" t="str">
        <f>IF($B45=0,"",SUMIFS(INPUT_DATA!V:V,INPUT_DATA!$A:$A,$B45,INPUT_DATA!$C:$C,"D"))</f>
        <v/>
      </c>
      <c r="BW45" s="311" t="str">
        <f>IF($B45=0,"",SUMIFS(INPUT_DATA!W:W,INPUT_DATA!$A:$A,$B45,INPUT_DATA!$C:$C,"D"))</f>
        <v/>
      </c>
      <c r="BX45" s="311" t="str">
        <f>IF($B45=0,"",SUMIFS(INPUT_DATA!X:X,INPUT_DATA!$A:$A,$B45,INPUT_DATA!$C:$C,"D"))</f>
        <v/>
      </c>
      <c r="BY45" s="311" t="str">
        <f>IF($B45=0,"",SUMIFS(INPUT_DATA!Y:Y,INPUT_DATA!$A:$A,$B45,INPUT_DATA!$C:$C,"D"))</f>
        <v/>
      </c>
      <c r="BZ45" s="352" t="str">
        <f>IF($B45=0,"",SUMIFS(INPUT_DATA!Z:Z,INPUT_DATA!$A:$A,$B45,INPUT_DATA!$C:$C,"D"))</f>
        <v/>
      </c>
      <c r="CA45" s="352" t="str">
        <f>IF($B45=0,"",SUMIFS(INPUT_DATA!AA:AA,INPUT_DATA!$A:$A,$B45,INPUT_DATA!$C:$C,"D"))</f>
        <v/>
      </c>
      <c r="CB45" s="352" t="str">
        <f>IF($B45=0,"",SUMIFS(INPUT_DATA!AB:AB,INPUT_DATA!$A:$A,$B45,INPUT_DATA!$C:$C,"D"))</f>
        <v/>
      </c>
      <c r="CC45" s="311" t="str">
        <f>IF($B45=0,"",SUMIFS(INPUT_DATA!AC:AC,INPUT_DATA!$A:$A,$B45,INPUT_DATA!$C:$C,"D"))</f>
        <v/>
      </c>
      <c r="CD45" s="311" t="str">
        <f>IF($B45=0,"",SUMIFS(INPUT_DATA!AD:AD,INPUT_DATA!$A:$A,$B45,INPUT_DATA!$C:$C,"D"))</f>
        <v/>
      </c>
      <c r="CE45" s="311" t="str">
        <f>IF($B45=0,"",SUMIFS(INPUT_DATA!AE:AE,INPUT_DATA!$A:$A,$B45,INPUT_DATA!$C:$C,"D"))</f>
        <v/>
      </c>
      <c r="CF45" s="352" t="str">
        <f>IF($B45=0,"",SUMIFS(INPUT_DATA!AF:AF,INPUT_DATA!$A:$A,$B45,INPUT_DATA!$C:$C,"D"))</f>
        <v/>
      </c>
      <c r="CG45" s="352" t="str">
        <f>IF($B45=0,"",SUMIFS(INPUT_DATA!AG:AG,INPUT_DATA!$A:$A,$B45,INPUT_DATA!$C:$C,"D"))</f>
        <v/>
      </c>
      <c r="CH45" s="352" t="str">
        <f>IF($B45=0,"",SUMIFS(INPUT_DATA!AH:AH,INPUT_DATA!$A:$A,$B45,INPUT_DATA!$C:$C,"D"))</f>
        <v/>
      </c>
      <c r="CI45" s="153" t="str">
        <f>IF($B45=0,"",SUMIFS(INPUT_DATA!AI:AI,INPUT_DATA!$A:$A,$B45,INPUT_DATA!$C:$C,"D"))</f>
        <v/>
      </c>
      <c r="CJ45" s="153" t="str">
        <f>IF($B45=0,"",SUMIFS(INPUT_DATA!AJ:AJ,INPUT_DATA!$A:$A,$B45,INPUT_DATA!$C:$C,"D"))</f>
        <v/>
      </c>
      <c r="CK45" s="153" t="str">
        <f>IF($B45=0,"",SUMIFS(INPUT_DATA!AK:AK,INPUT_DATA!$A:$A,$B45,INPUT_DATA!$C:$C,"D"))</f>
        <v/>
      </c>
      <c r="CL45" s="153" t="str">
        <f>IF($B45=0,"",SUMIFS(INPUT_DATA!AL:AL,INPUT_DATA!$A:$A,$B45,INPUT_DATA!$C:$C,"D"))</f>
        <v/>
      </c>
      <c r="CM45" s="153" t="str">
        <f>IF($B45=0,"",SUMIFS(INPUT_DATA!AM:AM,INPUT_DATA!$A:$A,$B45,INPUT_DATA!$C:$C,"D"))</f>
        <v/>
      </c>
      <c r="CN45" s="153" t="str">
        <f>IF($B45=0,"",SUMIFS(INPUT_DATA!AN:AN,INPUT_DATA!$A:$A,$B45,INPUT_DATA!$C:$C,"D"))</f>
        <v/>
      </c>
      <c r="CO45" s="153" t="str">
        <f>IF($B45=0,"",SUMIFS(INPUT_DATA!AO:AO,INPUT_DATA!$A:$A,$B45,INPUT_DATA!$C:$C,"D"))</f>
        <v/>
      </c>
      <c r="CP45" s="153" t="str">
        <f>IF($B45=0,"",SUMIFS(INPUT_DATA!AP:AP,INPUT_DATA!$A:$A,$B45,INPUT_DATA!$C:$C,"D"))</f>
        <v/>
      </c>
      <c r="CQ45" s="153" t="str">
        <f>IF($B45=0,"",SUMIFS(INPUT_DATA!AQ:AQ,INPUT_DATA!$A:$A,$B45,INPUT_DATA!$C:$C,"D"))</f>
        <v/>
      </c>
      <c r="CR45" s="737" t="str">
        <f t="shared" si="32"/>
        <v/>
      </c>
      <c r="CS45" s="737" t="str">
        <f t="shared" si="33"/>
        <v/>
      </c>
      <c r="CT45" s="737" t="str">
        <f t="shared" si="34"/>
        <v/>
      </c>
      <c r="CU45" s="726" t="str">
        <f>IF($B45=0,"",SUMIFS(INPUT_DATA!AR:AR,INPUT_DATA!$A:$A,$B45,INPUT_DATA!$C:$C,"D"))</f>
        <v/>
      </c>
      <c r="CV45" s="726" t="str">
        <f>IF($B45=0,"",SUMIFS(INPUT_DATA!AS:AS,INPUT_DATA!$A:$A,$B45,INPUT_DATA!$C:$C,"D"))</f>
        <v/>
      </c>
      <c r="CW45" s="726" t="str">
        <f>IF($B45=0,"",SUMIFS(INPUT_DATA!AT:AT,INPUT_DATA!$A:$A,$B45,INPUT_DATA!$C:$C,"D"))</f>
        <v/>
      </c>
      <c r="CX45" s="726" t="str">
        <f t="shared" si="35"/>
        <v/>
      </c>
      <c r="CY45" s="737" t="str">
        <f t="shared" si="36"/>
        <v/>
      </c>
      <c r="CZ45" s="748" t="str">
        <f t="shared" si="37"/>
        <v/>
      </c>
      <c r="DA45" s="150"/>
    </row>
    <row r="46" spans="1:105" x14ac:dyDescent="0.2">
      <c r="B46" s="720">
        <f>INPUT_DATA!BQ33</f>
        <v>0</v>
      </c>
      <c r="C46" s="725" t="str">
        <f>IF($B46=0,"",SUMIFS(INPUT_DATA!D:D,INPUT_DATA!$A:$A,$B46,INPUT_DATA!$C:$C,"S"))</f>
        <v/>
      </c>
      <c r="D46" s="726" t="str">
        <f>IF($B46=0,"",SUMIFS(INPUT_DATA!E:E,INPUT_DATA!$A:$A,$B46,INPUT_DATA!$C:$C,"S"))</f>
        <v/>
      </c>
      <c r="E46" s="727" t="str">
        <f>IF($B46=0,"",SUMIFS(INPUT_DATA!F:F,INPUT_DATA!$A:$A,$B46,INPUT_DATA!$C:$C,"S"))</f>
        <v/>
      </c>
      <c r="F46" s="727" t="str">
        <f>IF($B46=0,"",SUMIFS(INPUT_DATA!G:G,INPUT_DATA!$A:$A,$B46,INPUT_DATA!$C:$C,"S"))</f>
        <v/>
      </c>
      <c r="G46" s="727" t="str">
        <f>IF($B46=0,"",SUMIFS(INPUT_DATA!H:H,INPUT_DATA!$A:$A,$B46,INPUT_DATA!$C:$C,"S"))</f>
        <v/>
      </c>
      <c r="H46" s="727" t="str">
        <f>IF($B46=0,"",SUMIFS(INPUT_DATA!I:I,INPUT_DATA!$A:$A,$B46,INPUT_DATA!$C:$C,"S"))</f>
        <v/>
      </c>
      <c r="I46" s="727" t="str">
        <f>IF($B46=0,"",SUMIFS(INPUT_DATA!J:J,INPUT_DATA!$A:$A,$B46,INPUT_DATA!$C:$C,"S"))</f>
        <v/>
      </c>
      <c r="J46" s="727" t="str">
        <f>IF($B46=0,"",SUMIFS(INPUT_DATA!K:K,INPUT_DATA!$A:$A,$B46,INPUT_DATA!$C:$C,"S"))</f>
        <v/>
      </c>
      <c r="K46" s="727" t="str">
        <f>IF($B46=0,"",SUMIFS(INPUT_DATA!L:L,INPUT_DATA!$A:$A,$B46,INPUT_DATA!$C:$C,"S"))</f>
        <v/>
      </c>
      <c r="L46" s="727" t="str">
        <f>IF($B46=0,"",SUMIFS(INPUT_DATA!M:M,INPUT_DATA!$A:$A,$B46,INPUT_DATA!$C:$C,"S"))</f>
        <v/>
      </c>
      <c r="M46" s="727" t="str">
        <f>IF($B46=0,"",SUMIFS(INPUT_DATA!N:N,INPUT_DATA!$A:$A,$B46,INPUT_DATA!$C:$C,"S"))</f>
        <v/>
      </c>
      <c r="N46" s="727" t="str">
        <f>IF($B46=0,"",SUMIFS(INPUT_DATA!O:O,INPUT_DATA!$A:$A,$B46,INPUT_DATA!$C:$C,"S"))</f>
        <v/>
      </c>
      <c r="O46" s="728" t="str">
        <f t="shared" si="38"/>
        <v/>
      </c>
      <c r="P46" s="729" t="str">
        <f>IF($B46=0,"",SUMIFS(INPUT_DATA!P:P,INPUT_DATA!$A:$A,$B46,INPUT_DATA!$C:$C,"S"))</f>
        <v/>
      </c>
      <c r="Q46" s="729" t="str">
        <f t="shared" si="39"/>
        <v/>
      </c>
      <c r="R46" s="735" t="str">
        <f>IF($B46=0,"",SUMIFS(INPUT_DATA!Q:Q,INPUT_DATA!$A:$A,$B46,INPUT_DATA!$C:$C,"S"))</f>
        <v/>
      </c>
      <c r="S46" s="735" t="str">
        <f>IF($B46=0,"",SUMIFS(INPUT_DATA!R:R,INPUT_DATA!$A:$A,$B46,INPUT_DATA!$C:$C,"S"))</f>
        <v/>
      </c>
      <c r="T46" s="735" t="str">
        <f>IF($B46=0,"",SUMIFS(INPUT_DATA!S:S,INPUT_DATA!$A:$A,$B46,INPUT_DATA!$C:$C,"S"))</f>
        <v/>
      </c>
      <c r="U46" s="312" t="str">
        <f>IF($B46=0,"",SUMIFS(INPUT_DATA!T:T,INPUT_DATA!$A:$A,$B46,INPUT_DATA!$C:$C,"S"))</f>
        <v/>
      </c>
      <c r="V46" s="312" t="str">
        <f>IF($B46=0,"",SUMIFS(INPUT_DATA!U:U,INPUT_DATA!$A:$A,$B46,INPUT_DATA!$C:$C,"S"))</f>
        <v/>
      </c>
      <c r="W46" s="312" t="str">
        <f>IF($B46=0,"",SUMIFS(INPUT_DATA!V:V,INPUT_DATA!$A:$A,$B46,INPUT_DATA!$C:$C,"S"))</f>
        <v/>
      </c>
      <c r="X46" s="312" t="str">
        <f>IF($B46=0,"",SUMIFS(INPUT_DATA!W:W,INPUT_DATA!$A:$A,$B46,INPUT_DATA!$C:$C,"S"))</f>
        <v/>
      </c>
      <c r="Y46" s="312" t="str">
        <f>IF($B46=0,"",SUMIFS(INPUT_DATA!X:X,INPUT_DATA!$A:$A,$B46,INPUT_DATA!$C:$C,"S"))</f>
        <v/>
      </c>
      <c r="Z46" s="312" t="str">
        <f>IF($B46=0,"",SUMIFS(INPUT_DATA!Y:Y,INPUT_DATA!$A:$A,$B46,INPUT_DATA!$C:$C,"S"))</f>
        <v/>
      </c>
      <c r="AA46" s="312" t="str">
        <f>IF($B46=0,"",SUMIFS(INPUT_DATA!Z:Z,INPUT_DATA!$A:$A,$B46,INPUT_DATA!$C:$C,"S"))</f>
        <v/>
      </c>
      <c r="AB46" s="312" t="str">
        <f>IF($B46=0,"",SUMIFS(INPUT_DATA!AA:AA,INPUT_DATA!$A:$A,$B46,INPUT_DATA!$C:$C,"S"))</f>
        <v/>
      </c>
      <c r="AC46" s="312" t="str">
        <f>IF($B46=0,"",SUMIFS(INPUT_DATA!AB:AB,INPUT_DATA!$A:$A,$B46,INPUT_DATA!$C:$C,"S"))</f>
        <v/>
      </c>
      <c r="AD46" s="312" t="str">
        <f>IF($B46=0,"",SUMIFS(INPUT_DATA!AC:AC,INPUT_DATA!$A:$A,$B46,INPUT_DATA!$C:$C,"S"))</f>
        <v/>
      </c>
      <c r="AE46" s="312" t="str">
        <f>IF($B46=0,"",SUMIFS(INPUT_DATA!AD:AD,INPUT_DATA!$A:$A,$B46,INPUT_DATA!$C:$C,"S"))</f>
        <v/>
      </c>
      <c r="AF46" s="312" t="str">
        <f>IF($B46=0,"",SUMIFS(INPUT_DATA!AE:AE,INPUT_DATA!$A:$A,$B46,INPUT_DATA!$C:$C,"S"))</f>
        <v/>
      </c>
      <c r="AG46" s="312" t="str">
        <f>IF($B46=0,"",SUMIFS(INPUT_DATA!AF:AF,INPUT_DATA!$A:$A,$B46,INPUT_DATA!$C:$C,"S"))</f>
        <v/>
      </c>
      <c r="AH46" s="312" t="str">
        <f>IF($B46=0,"",SUMIFS(INPUT_DATA!AG:AG,INPUT_DATA!$A:$A,$B46,INPUT_DATA!$C:$C,"S"))</f>
        <v/>
      </c>
      <c r="AI46" s="312" t="str">
        <f>IF($B46=0,"",SUMIFS(INPUT_DATA!AH:AH,INPUT_DATA!$A:$A,$B46,INPUT_DATA!$C:$C,"S"))</f>
        <v/>
      </c>
      <c r="AJ46" s="312" t="str">
        <f>IF($B46=0,"",SUMIFS(INPUT_DATA!AI:AI,INPUT_DATA!$A:$A,$B46,INPUT_DATA!$C:$C,"S"))</f>
        <v/>
      </c>
      <c r="AK46" s="312" t="str">
        <f>IF($B46=0,"",SUMIFS(INPUT_DATA!AJ:AJ,INPUT_DATA!$A:$A,$B46,INPUT_DATA!$C:$C,"S"))</f>
        <v/>
      </c>
      <c r="AL46" s="312" t="str">
        <f>IF($B46=0,"",SUMIFS(INPUT_DATA!AK:AK,INPUT_DATA!$A:$A,$B46,INPUT_DATA!$C:$C,"S"))</f>
        <v/>
      </c>
      <c r="AM46" s="312" t="str">
        <f>IF($B46=0,"",SUMIFS(INPUT_DATA!AL:AL,INPUT_DATA!$A:$A,$B46,INPUT_DATA!$C:$C,"S"))</f>
        <v/>
      </c>
      <c r="AN46" s="312" t="str">
        <f>IF($B46=0,"",SUMIFS(INPUT_DATA!AM:AM,INPUT_DATA!$A:$A,$B46,INPUT_DATA!$C:$C,"S"))</f>
        <v/>
      </c>
      <c r="AO46" s="312" t="str">
        <f>IF($B46=0,"",SUMIFS(INPUT_DATA!AN:AN,INPUT_DATA!$A:$A,$B46,INPUT_DATA!$C:$C,"S"))</f>
        <v/>
      </c>
      <c r="AP46" s="312" t="str">
        <f>IF($B46=0,"",SUMIFS(INPUT_DATA!AO:AO,INPUT_DATA!$A:$A,$B46,INPUT_DATA!$C:$C,"S"))</f>
        <v/>
      </c>
      <c r="AQ46" s="312" t="str">
        <f>IF($B46=0,"",SUMIFS(INPUT_DATA!AP:AP,INPUT_DATA!$A:$A,$B46,INPUT_DATA!$C:$C,"S"))</f>
        <v/>
      </c>
      <c r="AR46" s="312" t="str">
        <f>IF($B46=0,"",SUMIFS(INPUT_DATA!AQ:AQ,INPUT_DATA!$A:$A,$B46,INPUT_DATA!$C:$C,"S"))</f>
        <v/>
      </c>
      <c r="AS46" s="736" t="str">
        <f t="shared" si="29"/>
        <v/>
      </c>
      <c r="AT46" s="737" t="str">
        <f t="shared" si="30"/>
        <v/>
      </c>
      <c r="AU46" s="738" t="str">
        <f t="shared" si="31"/>
        <v/>
      </c>
      <c r="AV46" s="736" t="str">
        <f>IF($B46=0,"",SUMIFS(INPUT_DATA!AR:AR,INPUT_DATA!$A:$A,$B46,INPUT_DATA!$C:$C,"S"))</f>
        <v/>
      </c>
      <c r="AW46" s="737" t="str">
        <f>IF($B46=0,"",SUMIFS(INPUT_DATA!AS:AS,INPUT_DATA!$A:$A,$B46,INPUT_DATA!$C:$C,"S"))</f>
        <v/>
      </c>
      <c r="AX46" s="738" t="str">
        <f>IF($B46=0,"",SUMIFS(INPUT_DATA!AT:AT,INPUT_DATA!$A:$A,$B46,INPUT_DATA!$C:$C,"S"))</f>
        <v/>
      </c>
      <c r="AY46" s="736" t="str">
        <f t="shared" si="15"/>
        <v/>
      </c>
      <c r="AZ46" s="737" t="str">
        <f t="shared" si="16"/>
        <v/>
      </c>
      <c r="BA46" s="738" t="str">
        <f t="shared" si="17"/>
        <v/>
      </c>
      <c r="BB46" s="150"/>
      <c r="BC46" s="725" t="str">
        <f>IF($B46=0,"",SUMIFS(INPUT_DATA!D:D,INPUT_DATA!$A:$A,$B46,INPUT_DATA!$C:$C,"D"))</f>
        <v/>
      </c>
      <c r="BD46" s="311" t="str">
        <f>IF($B46=0,"",SUMIFS(INPUT_DATA!F:F,INPUT_DATA!$A:$A,$B46,INPUT_DATA!$C:$C,"D"))</f>
        <v/>
      </c>
      <c r="BE46" s="311" t="str">
        <f>IF($B46=0,"",SUMIFS(INPUT_DATA!G:G,INPUT_DATA!$A:$A,$B46,INPUT_DATA!$C:$C,"D"))</f>
        <v/>
      </c>
      <c r="BF46" s="311" t="str">
        <f>IF($B46=0,"",SUMIFS(INPUT_DATA!H:H,INPUT_DATA!$A:$A,$B46,INPUT_DATA!$C:$C,"D"))</f>
        <v/>
      </c>
      <c r="BG46" s="311" t="str">
        <f>IF($B46=0,"",SUMIFS(INPUT_DATA!I:I,INPUT_DATA!$A:$A,$B46,INPUT_DATA!$C:$C,"D"))</f>
        <v/>
      </c>
      <c r="BH46" s="311" t="str">
        <f>IF($B46=0,"",SUMIFS(INPUT_DATA!J:J,INPUT_DATA!$A:$A,$B46,INPUT_DATA!$C:$C,"D"))</f>
        <v/>
      </c>
      <c r="BI46" s="311" t="str">
        <f>IF($B46=0,"",SUMIFS(INPUT_DATA!K:K,INPUT_DATA!$A:$A,$B46,INPUT_DATA!$C:$C,"D"))</f>
        <v/>
      </c>
      <c r="BJ46" s="311" t="str">
        <f>IF($B46=0,"",SUMIFS(INPUT_DATA!L:L,INPUT_DATA!$A:$A,$B46,INPUT_DATA!$C:$C,"D"))</f>
        <v/>
      </c>
      <c r="BK46" s="311" t="str">
        <f>IF($B46=0,"",SUMIFS(INPUT_DATA!M:M,INPUT_DATA!$A:$A,$B46,INPUT_DATA!$C:$C,"D"))</f>
        <v/>
      </c>
      <c r="BL46" s="311" t="str">
        <f>IF($B46=0,"",SUMIFS(INPUT_DATA!N:N,INPUT_DATA!$A:$A,$B46,INPUT_DATA!$C:$C,"D"))</f>
        <v/>
      </c>
      <c r="BM46" s="311" t="str">
        <f>IF($B46=0,"",SUMIFS(INPUT_DATA!O:O,INPUT_DATA!$A:$A,$B46,INPUT_DATA!$C:$C,"D"))</f>
        <v/>
      </c>
      <c r="BN46" s="741" t="str">
        <f t="shared" si="18"/>
        <v/>
      </c>
      <c r="BO46" s="741" t="str">
        <f>IF($B46=0,"",SUMIFS(INPUT_DATA!O:O,INPUT_DATA!$A:$A,$B46,INPUT_DATA!$C:$C,"D"))</f>
        <v/>
      </c>
      <c r="BP46" s="741" t="str">
        <f t="shared" si="19"/>
        <v/>
      </c>
      <c r="BQ46" s="725" t="str">
        <f>IF($B46=0,"",SUMIFS(INPUT_DATA!Q:Q,INPUT_DATA!$A:$A,$B46,INPUT_DATA!$C:$C,"D"))</f>
        <v/>
      </c>
      <c r="BR46" s="747" t="str">
        <f>IF($B46=0,"",SUMIFS(INPUT_DATA!R:R,INPUT_DATA!$A:$A,$B46,INPUT_DATA!$C:$C,"D"))</f>
        <v/>
      </c>
      <c r="BS46" s="747" t="str">
        <f>IF($B46=0,"",SUMIFS(INPUT_DATA!S:S,INPUT_DATA!$A:$A,$B46,INPUT_DATA!$C:$C,"D"))</f>
        <v/>
      </c>
      <c r="BT46" s="311" t="str">
        <f>IF($B46=0,"",SUMIFS(INPUT_DATA!T:T,INPUT_DATA!$A:$A,$B46,INPUT_DATA!$C:$C,"D"))</f>
        <v/>
      </c>
      <c r="BU46" s="311" t="str">
        <f>IF($B46=0,"",SUMIFS(INPUT_DATA!U:U,INPUT_DATA!$A:$A,$B46,INPUT_DATA!$C:$C,"D"))</f>
        <v/>
      </c>
      <c r="BV46" s="311" t="str">
        <f>IF($B46=0,"",SUMIFS(INPUT_DATA!V:V,INPUT_DATA!$A:$A,$B46,INPUT_DATA!$C:$C,"D"))</f>
        <v/>
      </c>
      <c r="BW46" s="311" t="str">
        <f>IF($B46=0,"",SUMIFS(INPUT_DATA!W:W,INPUT_DATA!$A:$A,$B46,INPUT_DATA!$C:$C,"D"))</f>
        <v/>
      </c>
      <c r="BX46" s="311" t="str">
        <f>IF($B46=0,"",SUMIFS(INPUT_DATA!X:X,INPUT_DATA!$A:$A,$B46,INPUT_DATA!$C:$C,"D"))</f>
        <v/>
      </c>
      <c r="BY46" s="311" t="str">
        <f>IF($B46=0,"",SUMIFS(INPUT_DATA!Y:Y,INPUT_DATA!$A:$A,$B46,INPUT_DATA!$C:$C,"D"))</f>
        <v/>
      </c>
      <c r="BZ46" s="352" t="str">
        <f>IF($B46=0,"",SUMIFS(INPUT_DATA!Z:Z,INPUT_DATA!$A:$A,$B46,INPUT_DATA!$C:$C,"D"))</f>
        <v/>
      </c>
      <c r="CA46" s="352" t="str">
        <f>IF($B46=0,"",SUMIFS(INPUT_DATA!AA:AA,INPUT_DATA!$A:$A,$B46,INPUT_DATA!$C:$C,"D"))</f>
        <v/>
      </c>
      <c r="CB46" s="352" t="str">
        <f>IF($B46=0,"",SUMIFS(INPUT_DATA!AB:AB,INPUT_DATA!$A:$A,$B46,INPUT_DATA!$C:$C,"D"))</f>
        <v/>
      </c>
      <c r="CC46" s="311" t="str">
        <f>IF($B46=0,"",SUMIFS(INPUT_DATA!AC:AC,INPUT_DATA!$A:$A,$B46,INPUT_DATA!$C:$C,"D"))</f>
        <v/>
      </c>
      <c r="CD46" s="311" t="str">
        <f>IF($B46=0,"",SUMIFS(INPUT_DATA!AD:AD,INPUT_DATA!$A:$A,$B46,INPUT_DATA!$C:$C,"D"))</f>
        <v/>
      </c>
      <c r="CE46" s="311" t="str">
        <f>IF($B46=0,"",SUMIFS(INPUT_DATA!AE:AE,INPUT_DATA!$A:$A,$B46,INPUT_DATA!$C:$C,"D"))</f>
        <v/>
      </c>
      <c r="CF46" s="352" t="str">
        <f>IF($B46=0,"",SUMIFS(INPUT_DATA!AF:AF,INPUT_DATA!$A:$A,$B46,INPUT_DATA!$C:$C,"D"))</f>
        <v/>
      </c>
      <c r="CG46" s="352" t="str">
        <f>IF($B46=0,"",SUMIFS(INPUT_DATA!AG:AG,INPUT_DATA!$A:$A,$B46,INPUT_DATA!$C:$C,"D"))</f>
        <v/>
      </c>
      <c r="CH46" s="352" t="str">
        <f>IF($B46=0,"",SUMIFS(INPUT_DATA!AH:AH,INPUT_DATA!$A:$A,$B46,INPUT_DATA!$C:$C,"D"))</f>
        <v/>
      </c>
      <c r="CI46" s="153" t="str">
        <f>IF($B46=0,"",SUMIFS(INPUT_DATA!AI:AI,INPUT_DATA!$A:$A,$B46,INPUT_DATA!$C:$C,"D"))</f>
        <v/>
      </c>
      <c r="CJ46" s="153" t="str">
        <f>IF($B46=0,"",SUMIFS(INPUT_DATA!AJ:AJ,INPUT_DATA!$A:$A,$B46,INPUT_DATA!$C:$C,"D"))</f>
        <v/>
      </c>
      <c r="CK46" s="153" t="str">
        <f>IF($B46=0,"",SUMIFS(INPUT_DATA!AK:AK,INPUT_DATA!$A:$A,$B46,INPUT_DATA!$C:$C,"D"))</f>
        <v/>
      </c>
      <c r="CL46" s="153" t="str">
        <f>IF($B46=0,"",SUMIFS(INPUT_DATA!AL:AL,INPUT_DATA!$A:$A,$B46,INPUT_DATA!$C:$C,"D"))</f>
        <v/>
      </c>
      <c r="CM46" s="153" t="str">
        <f>IF($B46=0,"",SUMIFS(INPUT_DATA!AM:AM,INPUT_DATA!$A:$A,$B46,INPUT_DATA!$C:$C,"D"))</f>
        <v/>
      </c>
      <c r="CN46" s="153" t="str">
        <f>IF($B46=0,"",SUMIFS(INPUT_DATA!AN:AN,INPUT_DATA!$A:$A,$B46,INPUT_DATA!$C:$C,"D"))</f>
        <v/>
      </c>
      <c r="CO46" s="153" t="str">
        <f>IF($B46=0,"",SUMIFS(INPUT_DATA!AO:AO,INPUT_DATA!$A:$A,$B46,INPUT_DATA!$C:$C,"D"))</f>
        <v/>
      </c>
      <c r="CP46" s="153" t="str">
        <f>IF($B46=0,"",SUMIFS(INPUT_DATA!AP:AP,INPUT_DATA!$A:$A,$B46,INPUT_DATA!$C:$C,"D"))</f>
        <v/>
      </c>
      <c r="CQ46" s="153" t="str">
        <f>IF($B46=0,"",SUMIFS(INPUT_DATA!AQ:AQ,INPUT_DATA!$A:$A,$B46,INPUT_DATA!$C:$C,"D"))</f>
        <v/>
      </c>
      <c r="CR46" s="737" t="str">
        <f t="shared" si="32"/>
        <v/>
      </c>
      <c r="CS46" s="737" t="str">
        <f t="shared" si="33"/>
        <v/>
      </c>
      <c r="CT46" s="737" t="str">
        <f t="shared" si="34"/>
        <v/>
      </c>
      <c r="CU46" s="726" t="str">
        <f>IF($B46=0,"",SUMIFS(INPUT_DATA!AR:AR,INPUT_DATA!$A:$A,$B46,INPUT_DATA!$C:$C,"D"))</f>
        <v/>
      </c>
      <c r="CV46" s="726" t="str">
        <f>IF($B46=0,"",SUMIFS(INPUT_DATA!AS:AS,INPUT_DATA!$A:$A,$B46,INPUT_DATA!$C:$C,"D"))</f>
        <v/>
      </c>
      <c r="CW46" s="726" t="str">
        <f>IF($B46=0,"",SUMIFS(INPUT_DATA!AT:AT,INPUT_DATA!$A:$A,$B46,INPUT_DATA!$C:$C,"D"))</f>
        <v/>
      </c>
      <c r="CX46" s="726" t="str">
        <f t="shared" si="35"/>
        <v/>
      </c>
      <c r="CY46" s="737" t="str">
        <f t="shared" si="36"/>
        <v/>
      </c>
      <c r="CZ46" s="748" t="str">
        <f t="shared" si="37"/>
        <v/>
      </c>
      <c r="DA46" s="150"/>
    </row>
    <row r="47" spans="1:105" x14ac:dyDescent="0.2">
      <c r="B47" s="720">
        <f>INPUT_DATA!BQ34</f>
        <v>0</v>
      </c>
      <c r="C47" s="725" t="str">
        <f>IF($B47=0,"",SUMIFS(INPUT_DATA!D:D,INPUT_DATA!$A:$A,$B47,INPUT_DATA!$C:$C,"S"))</f>
        <v/>
      </c>
      <c r="D47" s="726" t="str">
        <f>IF($B47=0,"",SUMIFS(INPUT_DATA!E:E,INPUT_DATA!$A:$A,$B47,INPUT_DATA!$C:$C,"S"))</f>
        <v/>
      </c>
      <c r="E47" s="727" t="str">
        <f>IF($B47=0,"",SUMIFS(INPUT_DATA!F:F,INPUT_DATA!$A:$A,$B47,INPUT_DATA!$C:$C,"S"))</f>
        <v/>
      </c>
      <c r="F47" s="727" t="str">
        <f>IF($B47=0,"",SUMIFS(INPUT_DATA!G:G,INPUT_DATA!$A:$A,$B47,INPUT_DATA!$C:$C,"S"))</f>
        <v/>
      </c>
      <c r="G47" s="727" t="str">
        <f>IF($B47=0,"",SUMIFS(INPUT_DATA!H:H,INPUT_DATA!$A:$A,$B47,INPUT_DATA!$C:$C,"S"))</f>
        <v/>
      </c>
      <c r="H47" s="727" t="str">
        <f>IF($B47=0,"",SUMIFS(INPUT_DATA!I:I,INPUT_DATA!$A:$A,$B47,INPUT_DATA!$C:$C,"S"))</f>
        <v/>
      </c>
      <c r="I47" s="727" t="str">
        <f>IF($B47=0,"",SUMIFS(INPUT_DATA!J:J,INPUT_DATA!$A:$A,$B47,INPUT_DATA!$C:$C,"S"))</f>
        <v/>
      </c>
      <c r="J47" s="727" t="str">
        <f>IF($B47=0,"",SUMIFS(INPUT_DATA!K:K,INPUT_DATA!$A:$A,$B47,INPUT_DATA!$C:$C,"S"))</f>
        <v/>
      </c>
      <c r="K47" s="727" t="str">
        <f>IF($B47=0,"",SUMIFS(INPUT_DATA!L:L,INPUT_DATA!$A:$A,$B47,INPUT_DATA!$C:$C,"S"))</f>
        <v/>
      </c>
      <c r="L47" s="727" t="str">
        <f>IF($B47=0,"",SUMIFS(INPUT_DATA!M:M,INPUT_DATA!$A:$A,$B47,INPUT_DATA!$C:$C,"S"))</f>
        <v/>
      </c>
      <c r="M47" s="727" t="str">
        <f>IF($B47=0,"",SUMIFS(INPUT_DATA!N:N,INPUT_DATA!$A:$A,$B47,INPUT_DATA!$C:$C,"S"))</f>
        <v/>
      </c>
      <c r="N47" s="727" t="str">
        <f>IF($B47=0,"",SUMIFS(INPUT_DATA!O:O,INPUT_DATA!$A:$A,$B47,INPUT_DATA!$C:$C,"S"))</f>
        <v/>
      </c>
      <c r="O47" s="728" t="str">
        <f t="shared" si="38"/>
        <v/>
      </c>
      <c r="P47" s="729" t="str">
        <f>IF($B47=0,"",SUMIFS(INPUT_DATA!P:P,INPUT_DATA!$A:$A,$B47,INPUT_DATA!$C:$C,"S"))</f>
        <v/>
      </c>
      <c r="Q47" s="729" t="str">
        <f t="shared" si="39"/>
        <v/>
      </c>
      <c r="R47" s="735" t="str">
        <f>IF($B47=0,"",SUMIFS(INPUT_DATA!Q:Q,INPUT_DATA!$A:$A,$B47,INPUT_DATA!$C:$C,"S"))</f>
        <v/>
      </c>
      <c r="S47" s="735" t="str">
        <f>IF($B47=0,"",SUMIFS(INPUT_DATA!R:R,INPUT_DATA!$A:$A,$B47,INPUT_DATA!$C:$C,"S"))</f>
        <v/>
      </c>
      <c r="T47" s="735" t="str">
        <f>IF($B47=0,"",SUMIFS(INPUT_DATA!S:S,INPUT_DATA!$A:$A,$B47,INPUT_DATA!$C:$C,"S"))</f>
        <v/>
      </c>
      <c r="U47" s="312" t="str">
        <f>IF($B47=0,"",SUMIFS(INPUT_DATA!T:T,INPUT_DATA!$A:$A,$B47,INPUT_DATA!$C:$C,"S"))</f>
        <v/>
      </c>
      <c r="V47" s="312" t="str">
        <f>IF($B47=0,"",SUMIFS(INPUT_DATA!U:U,INPUT_DATA!$A:$A,$B47,INPUT_DATA!$C:$C,"S"))</f>
        <v/>
      </c>
      <c r="W47" s="312" t="str">
        <f>IF($B47=0,"",SUMIFS(INPUT_DATA!V:V,INPUT_DATA!$A:$A,$B47,INPUT_DATA!$C:$C,"S"))</f>
        <v/>
      </c>
      <c r="X47" s="312" t="str">
        <f>IF($B47=0,"",SUMIFS(INPUT_DATA!W:W,INPUT_DATA!$A:$A,$B47,INPUT_DATA!$C:$C,"S"))</f>
        <v/>
      </c>
      <c r="Y47" s="312" t="str">
        <f>IF($B47=0,"",SUMIFS(INPUT_DATA!X:X,INPUT_DATA!$A:$A,$B47,INPUT_DATA!$C:$C,"S"))</f>
        <v/>
      </c>
      <c r="Z47" s="312" t="str">
        <f>IF($B47=0,"",SUMIFS(INPUT_DATA!Y:Y,INPUT_DATA!$A:$A,$B47,INPUT_DATA!$C:$C,"S"))</f>
        <v/>
      </c>
      <c r="AA47" s="312" t="str">
        <f>IF($B47=0,"",SUMIFS(INPUT_DATA!Z:Z,INPUT_DATA!$A:$A,$B47,INPUT_DATA!$C:$C,"S"))</f>
        <v/>
      </c>
      <c r="AB47" s="312" t="str">
        <f>IF($B47=0,"",SUMIFS(INPUT_DATA!AA:AA,INPUT_DATA!$A:$A,$B47,INPUT_DATA!$C:$C,"S"))</f>
        <v/>
      </c>
      <c r="AC47" s="312" t="str">
        <f>IF($B47=0,"",SUMIFS(INPUT_DATA!AB:AB,INPUT_DATA!$A:$A,$B47,INPUT_DATA!$C:$C,"S"))</f>
        <v/>
      </c>
      <c r="AD47" s="312" t="str">
        <f>IF($B47=0,"",SUMIFS(INPUT_DATA!AC:AC,INPUT_DATA!$A:$A,$B47,INPUT_DATA!$C:$C,"S"))</f>
        <v/>
      </c>
      <c r="AE47" s="312" t="str">
        <f>IF($B47=0,"",SUMIFS(INPUT_DATA!AD:AD,INPUT_DATA!$A:$A,$B47,INPUT_DATA!$C:$C,"S"))</f>
        <v/>
      </c>
      <c r="AF47" s="312" t="str">
        <f>IF($B47=0,"",SUMIFS(INPUT_DATA!AE:AE,INPUT_DATA!$A:$A,$B47,INPUT_DATA!$C:$C,"S"))</f>
        <v/>
      </c>
      <c r="AG47" s="312" t="str">
        <f>IF($B47=0,"",SUMIFS(INPUT_DATA!AF:AF,INPUT_DATA!$A:$A,$B47,INPUT_DATA!$C:$C,"S"))</f>
        <v/>
      </c>
      <c r="AH47" s="312" t="str">
        <f>IF($B47=0,"",SUMIFS(INPUT_DATA!AG:AG,INPUT_DATA!$A:$A,$B47,INPUT_DATA!$C:$C,"S"))</f>
        <v/>
      </c>
      <c r="AI47" s="312" t="str">
        <f>IF($B47=0,"",SUMIFS(INPUT_DATA!AH:AH,INPUT_DATA!$A:$A,$B47,INPUT_DATA!$C:$C,"S"))</f>
        <v/>
      </c>
      <c r="AJ47" s="312" t="str">
        <f>IF($B47=0,"",SUMIFS(INPUT_DATA!AI:AI,INPUT_DATA!$A:$A,$B47,INPUT_DATA!$C:$C,"S"))</f>
        <v/>
      </c>
      <c r="AK47" s="312" t="str">
        <f>IF($B47=0,"",SUMIFS(INPUT_DATA!AJ:AJ,INPUT_DATA!$A:$A,$B47,INPUT_DATA!$C:$C,"S"))</f>
        <v/>
      </c>
      <c r="AL47" s="312" t="str">
        <f>IF($B47=0,"",SUMIFS(INPUT_DATA!AK:AK,INPUT_DATA!$A:$A,$B47,INPUT_DATA!$C:$C,"S"))</f>
        <v/>
      </c>
      <c r="AM47" s="312" t="str">
        <f>IF($B47=0,"",SUMIFS(INPUT_DATA!AL:AL,INPUT_DATA!$A:$A,$B47,INPUT_DATA!$C:$C,"S"))</f>
        <v/>
      </c>
      <c r="AN47" s="312" t="str">
        <f>IF($B47=0,"",SUMIFS(INPUT_DATA!AM:AM,INPUT_DATA!$A:$A,$B47,INPUT_DATA!$C:$C,"S"))</f>
        <v/>
      </c>
      <c r="AO47" s="312" t="str">
        <f>IF($B47=0,"",SUMIFS(INPUT_DATA!AN:AN,INPUT_DATA!$A:$A,$B47,INPUT_DATA!$C:$C,"S"))</f>
        <v/>
      </c>
      <c r="AP47" s="312" t="str">
        <f>IF($B47=0,"",SUMIFS(INPUT_DATA!AO:AO,INPUT_DATA!$A:$A,$B47,INPUT_DATA!$C:$C,"S"))</f>
        <v/>
      </c>
      <c r="AQ47" s="312" t="str">
        <f>IF($B47=0,"",SUMIFS(INPUT_DATA!AP:AP,INPUT_DATA!$A:$A,$B47,INPUT_DATA!$C:$C,"S"))</f>
        <v/>
      </c>
      <c r="AR47" s="312" t="str">
        <f>IF($B47=0,"",SUMIFS(INPUT_DATA!AQ:AQ,INPUT_DATA!$A:$A,$B47,INPUT_DATA!$C:$C,"S"))</f>
        <v/>
      </c>
      <c r="AS47" s="736" t="str">
        <f t="shared" si="29"/>
        <v/>
      </c>
      <c r="AT47" s="737" t="str">
        <f t="shared" si="30"/>
        <v/>
      </c>
      <c r="AU47" s="738" t="str">
        <f t="shared" si="31"/>
        <v/>
      </c>
      <c r="AV47" s="736" t="str">
        <f>IF($B47=0,"",SUMIFS(INPUT_DATA!AR:AR,INPUT_DATA!$A:$A,$B47,INPUT_DATA!$C:$C,"S"))</f>
        <v/>
      </c>
      <c r="AW47" s="737" t="str">
        <f>IF($B47=0,"",SUMIFS(INPUT_DATA!AS:AS,INPUT_DATA!$A:$A,$B47,INPUT_DATA!$C:$C,"S"))</f>
        <v/>
      </c>
      <c r="AX47" s="738" t="str">
        <f>IF($B47=0,"",SUMIFS(INPUT_DATA!AT:AT,INPUT_DATA!$A:$A,$B47,INPUT_DATA!$C:$C,"S"))</f>
        <v/>
      </c>
      <c r="AY47" s="736" t="str">
        <f t="shared" si="15"/>
        <v/>
      </c>
      <c r="AZ47" s="737" t="str">
        <f t="shared" si="16"/>
        <v/>
      </c>
      <c r="BA47" s="738" t="str">
        <f t="shared" si="17"/>
        <v/>
      </c>
      <c r="BB47" s="150"/>
      <c r="BC47" s="725" t="str">
        <f>IF($B47=0,"",SUMIFS(INPUT_DATA!D:D,INPUT_DATA!$A:$A,$B47,INPUT_DATA!$C:$C,"D"))</f>
        <v/>
      </c>
      <c r="BD47" s="311" t="str">
        <f>IF($B47=0,"",SUMIFS(INPUT_DATA!F:F,INPUT_DATA!$A:$A,$B47,INPUT_DATA!$C:$C,"D"))</f>
        <v/>
      </c>
      <c r="BE47" s="311" t="str">
        <f>IF($B47=0,"",SUMIFS(INPUT_DATA!G:G,INPUT_DATA!$A:$A,$B47,INPUT_DATA!$C:$C,"D"))</f>
        <v/>
      </c>
      <c r="BF47" s="311" t="str">
        <f>IF($B47=0,"",SUMIFS(INPUT_DATA!H:H,INPUT_DATA!$A:$A,$B47,INPUT_DATA!$C:$C,"D"))</f>
        <v/>
      </c>
      <c r="BG47" s="311" t="str">
        <f>IF($B47=0,"",SUMIFS(INPUT_DATA!I:I,INPUT_DATA!$A:$A,$B47,INPUT_DATA!$C:$C,"D"))</f>
        <v/>
      </c>
      <c r="BH47" s="311" t="str">
        <f>IF($B47=0,"",SUMIFS(INPUT_DATA!J:J,INPUT_DATA!$A:$A,$B47,INPUT_DATA!$C:$C,"D"))</f>
        <v/>
      </c>
      <c r="BI47" s="311" t="str">
        <f>IF($B47=0,"",SUMIFS(INPUT_DATA!K:K,INPUT_DATA!$A:$A,$B47,INPUT_DATA!$C:$C,"D"))</f>
        <v/>
      </c>
      <c r="BJ47" s="311" t="str">
        <f>IF($B47=0,"",SUMIFS(INPUT_DATA!L:L,INPUT_DATA!$A:$A,$B47,INPUT_DATA!$C:$C,"D"))</f>
        <v/>
      </c>
      <c r="BK47" s="311" t="str">
        <f>IF($B47=0,"",SUMIFS(INPUT_DATA!M:M,INPUT_DATA!$A:$A,$B47,INPUT_DATA!$C:$C,"D"))</f>
        <v/>
      </c>
      <c r="BL47" s="311" t="str">
        <f>IF($B47=0,"",SUMIFS(INPUT_DATA!N:N,INPUT_DATA!$A:$A,$B47,INPUT_DATA!$C:$C,"D"))</f>
        <v/>
      </c>
      <c r="BM47" s="311" t="str">
        <f>IF($B47=0,"",SUMIFS(INPUT_DATA!O:O,INPUT_DATA!$A:$A,$B47,INPUT_DATA!$C:$C,"D"))</f>
        <v/>
      </c>
      <c r="BN47" s="741" t="str">
        <f t="shared" si="18"/>
        <v/>
      </c>
      <c r="BO47" s="741" t="str">
        <f>IF($B47=0,"",SUMIFS(INPUT_DATA!O:O,INPUT_DATA!$A:$A,$B47,INPUT_DATA!$C:$C,"D"))</f>
        <v/>
      </c>
      <c r="BP47" s="741" t="str">
        <f t="shared" si="19"/>
        <v/>
      </c>
      <c r="BQ47" s="725" t="str">
        <f>IF($B47=0,"",SUMIFS(INPUT_DATA!Q:Q,INPUT_DATA!$A:$A,$B47,INPUT_DATA!$C:$C,"D"))</f>
        <v/>
      </c>
      <c r="BR47" s="747" t="str">
        <f>IF($B47=0,"",SUMIFS(INPUT_DATA!R:R,INPUT_DATA!$A:$A,$B47,INPUT_DATA!$C:$C,"D"))</f>
        <v/>
      </c>
      <c r="BS47" s="747" t="str">
        <f>IF($B47=0,"",SUMIFS(INPUT_DATA!S:S,INPUT_DATA!$A:$A,$B47,INPUT_DATA!$C:$C,"D"))</f>
        <v/>
      </c>
      <c r="BT47" s="311" t="str">
        <f>IF($B47=0,"",SUMIFS(INPUT_DATA!T:T,INPUT_DATA!$A:$A,$B47,INPUT_DATA!$C:$C,"D"))</f>
        <v/>
      </c>
      <c r="BU47" s="311" t="str">
        <f>IF($B47=0,"",SUMIFS(INPUT_DATA!U:U,INPUT_DATA!$A:$A,$B47,INPUT_DATA!$C:$C,"D"))</f>
        <v/>
      </c>
      <c r="BV47" s="311" t="str">
        <f>IF($B47=0,"",SUMIFS(INPUT_DATA!V:V,INPUT_DATA!$A:$A,$B47,INPUT_DATA!$C:$C,"D"))</f>
        <v/>
      </c>
      <c r="BW47" s="311" t="str">
        <f>IF($B47=0,"",SUMIFS(INPUT_DATA!W:W,INPUT_DATA!$A:$A,$B47,INPUT_DATA!$C:$C,"D"))</f>
        <v/>
      </c>
      <c r="BX47" s="311" t="str">
        <f>IF($B47=0,"",SUMIFS(INPUT_DATA!X:X,INPUT_DATA!$A:$A,$B47,INPUT_DATA!$C:$C,"D"))</f>
        <v/>
      </c>
      <c r="BY47" s="311" t="str">
        <f>IF($B47=0,"",SUMIFS(INPUT_DATA!Y:Y,INPUT_DATA!$A:$A,$B47,INPUT_DATA!$C:$C,"D"))</f>
        <v/>
      </c>
      <c r="BZ47" s="352" t="str">
        <f>IF($B47=0,"",SUMIFS(INPUT_DATA!Z:Z,INPUT_DATA!$A:$A,$B47,INPUT_DATA!$C:$C,"D"))</f>
        <v/>
      </c>
      <c r="CA47" s="352" t="str">
        <f>IF($B47=0,"",SUMIFS(INPUT_DATA!AA:AA,INPUT_DATA!$A:$A,$B47,INPUT_DATA!$C:$C,"D"))</f>
        <v/>
      </c>
      <c r="CB47" s="352" t="str">
        <f>IF($B47=0,"",SUMIFS(INPUT_DATA!AB:AB,INPUT_DATA!$A:$A,$B47,INPUT_DATA!$C:$C,"D"))</f>
        <v/>
      </c>
      <c r="CC47" s="311" t="str">
        <f>IF($B47=0,"",SUMIFS(INPUT_DATA!AC:AC,INPUT_DATA!$A:$A,$B47,INPUT_DATA!$C:$C,"D"))</f>
        <v/>
      </c>
      <c r="CD47" s="311" t="str">
        <f>IF($B47=0,"",SUMIFS(INPUT_DATA!AD:AD,INPUT_DATA!$A:$A,$B47,INPUT_DATA!$C:$C,"D"))</f>
        <v/>
      </c>
      <c r="CE47" s="311" t="str">
        <f>IF($B47=0,"",SUMIFS(INPUT_DATA!AE:AE,INPUT_DATA!$A:$A,$B47,INPUT_DATA!$C:$C,"D"))</f>
        <v/>
      </c>
      <c r="CF47" s="352" t="str">
        <f>IF($B47=0,"",SUMIFS(INPUT_DATA!AF:AF,INPUT_DATA!$A:$A,$B47,INPUT_DATA!$C:$C,"D"))</f>
        <v/>
      </c>
      <c r="CG47" s="352" t="str">
        <f>IF($B47=0,"",SUMIFS(INPUT_DATA!AG:AG,INPUT_DATA!$A:$A,$B47,INPUT_DATA!$C:$C,"D"))</f>
        <v/>
      </c>
      <c r="CH47" s="352" t="str">
        <f>IF($B47=0,"",SUMIFS(INPUT_DATA!AH:AH,INPUT_DATA!$A:$A,$B47,INPUT_DATA!$C:$C,"D"))</f>
        <v/>
      </c>
      <c r="CI47" s="153" t="str">
        <f>IF($B47=0,"",SUMIFS(INPUT_DATA!AI:AI,INPUT_DATA!$A:$A,$B47,INPUT_DATA!$C:$C,"D"))</f>
        <v/>
      </c>
      <c r="CJ47" s="153" t="str">
        <f>IF($B47=0,"",SUMIFS(INPUT_DATA!AJ:AJ,INPUT_DATA!$A:$A,$B47,INPUT_DATA!$C:$C,"D"))</f>
        <v/>
      </c>
      <c r="CK47" s="153" t="str">
        <f>IF($B47=0,"",SUMIFS(INPUT_DATA!AK:AK,INPUT_DATA!$A:$A,$B47,INPUT_DATA!$C:$C,"D"))</f>
        <v/>
      </c>
      <c r="CL47" s="153" t="str">
        <f>IF($B47=0,"",SUMIFS(INPUT_DATA!AL:AL,INPUT_DATA!$A:$A,$B47,INPUT_DATA!$C:$C,"D"))</f>
        <v/>
      </c>
      <c r="CM47" s="153" t="str">
        <f>IF($B47=0,"",SUMIFS(INPUT_DATA!AM:AM,INPUT_DATA!$A:$A,$B47,INPUT_DATA!$C:$C,"D"))</f>
        <v/>
      </c>
      <c r="CN47" s="153" t="str">
        <f>IF($B47=0,"",SUMIFS(INPUT_DATA!AN:AN,INPUT_DATA!$A:$A,$B47,INPUT_DATA!$C:$C,"D"))</f>
        <v/>
      </c>
      <c r="CO47" s="153" t="str">
        <f>IF($B47=0,"",SUMIFS(INPUT_DATA!AO:AO,INPUT_DATA!$A:$A,$B47,INPUT_DATA!$C:$C,"D"))</f>
        <v/>
      </c>
      <c r="CP47" s="153" t="str">
        <f>IF($B47=0,"",SUMIFS(INPUT_DATA!AP:AP,INPUT_DATA!$A:$A,$B47,INPUT_DATA!$C:$C,"D"))</f>
        <v/>
      </c>
      <c r="CQ47" s="153" t="str">
        <f>IF($B47=0,"",SUMIFS(INPUT_DATA!AQ:AQ,INPUT_DATA!$A:$A,$B47,INPUT_DATA!$C:$C,"D"))</f>
        <v/>
      </c>
      <c r="CR47" s="737" t="str">
        <f t="shared" si="32"/>
        <v/>
      </c>
      <c r="CS47" s="737" t="str">
        <f t="shared" si="33"/>
        <v/>
      </c>
      <c r="CT47" s="737" t="str">
        <f t="shared" si="34"/>
        <v/>
      </c>
      <c r="CU47" s="726" t="str">
        <f>IF($B47=0,"",SUMIFS(INPUT_DATA!AR:AR,INPUT_DATA!$A:$A,$B47,INPUT_DATA!$C:$C,"D"))</f>
        <v/>
      </c>
      <c r="CV47" s="726" t="str">
        <f>IF($B47=0,"",SUMIFS(INPUT_DATA!AS:AS,INPUT_DATA!$A:$A,$B47,INPUT_DATA!$C:$C,"D"))</f>
        <v/>
      </c>
      <c r="CW47" s="726" t="str">
        <f>IF($B47=0,"",SUMIFS(INPUT_DATA!AT:AT,INPUT_DATA!$A:$A,$B47,INPUT_DATA!$C:$C,"D"))</f>
        <v/>
      </c>
      <c r="CX47" s="726" t="str">
        <f t="shared" si="35"/>
        <v/>
      </c>
      <c r="CY47" s="737" t="str">
        <f t="shared" si="36"/>
        <v/>
      </c>
      <c r="CZ47" s="748" t="str">
        <f t="shared" si="37"/>
        <v/>
      </c>
      <c r="DA47" s="150"/>
    </row>
    <row r="48" spans="1:105" x14ac:dyDescent="0.2">
      <c r="A48" s="172">
        <f t="shared" ref="A48:A87" si="40">A47-1</f>
        <v>-1</v>
      </c>
      <c r="B48" s="720">
        <f>INPUT_DATA!BQ35</f>
        <v>0</v>
      </c>
      <c r="C48" s="725" t="str">
        <f>IF($B48=0,"",SUMIFS(INPUT_DATA!D:D,INPUT_DATA!$A:$A,$B48,INPUT_DATA!$C:$C,"S"))</f>
        <v/>
      </c>
      <c r="D48" s="726" t="str">
        <f>IF($B48=0,"",SUMIFS(INPUT_DATA!E:E,INPUT_DATA!$A:$A,$B48,INPUT_DATA!$C:$C,"S"))</f>
        <v/>
      </c>
      <c r="E48" s="727" t="str">
        <f>IF($B48=0,"",SUMIFS(INPUT_DATA!F:F,INPUT_DATA!$A:$A,$B48,INPUT_DATA!$C:$C,"S"))</f>
        <v/>
      </c>
      <c r="F48" s="727" t="str">
        <f>IF($B48=0,"",SUMIFS(INPUT_DATA!G:G,INPUT_DATA!$A:$A,$B48,INPUT_DATA!$C:$C,"S"))</f>
        <v/>
      </c>
      <c r="G48" s="727" t="str">
        <f>IF($B48=0,"",SUMIFS(INPUT_DATA!H:H,INPUT_DATA!$A:$A,$B48,INPUT_DATA!$C:$C,"S"))</f>
        <v/>
      </c>
      <c r="H48" s="727" t="str">
        <f>IF($B48=0,"",SUMIFS(INPUT_DATA!I:I,INPUT_DATA!$A:$A,$B48,INPUT_DATA!$C:$C,"S"))</f>
        <v/>
      </c>
      <c r="I48" s="727" t="str">
        <f>IF($B48=0,"",SUMIFS(INPUT_DATA!J:J,INPUT_DATA!$A:$A,$B48,INPUT_DATA!$C:$C,"S"))</f>
        <v/>
      </c>
      <c r="J48" s="727" t="str">
        <f>IF($B48=0,"",SUMIFS(INPUT_DATA!K:K,INPUT_DATA!$A:$A,$B48,INPUT_DATA!$C:$C,"S"))</f>
        <v/>
      </c>
      <c r="K48" s="727" t="str">
        <f>IF($B48=0,"",SUMIFS(INPUT_DATA!L:L,INPUT_DATA!$A:$A,$B48,INPUT_DATA!$C:$C,"S"))</f>
        <v/>
      </c>
      <c r="L48" s="727" t="str">
        <f>IF($B48=0,"",SUMIFS(INPUT_DATA!M:M,INPUT_DATA!$A:$A,$B48,INPUT_DATA!$C:$C,"S"))</f>
        <v/>
      </c>
      <c r="M48" s="727" t="str">
        <f>IF($B48=0,"",SUMIFS(INPUT_DATA!N:N,INPUT_DATA!$A:$A,$B48,INPUT_DATA!$C:$C,"S"))</f>
        <v/>
      </c>
      <c r="N48" s="727" t="str">
        <f>IF($B48=0,"",SUMIFS(INPUT_DATA!O:O,INPUT_DATA!$A:$A,$B48,INPUT_DATA!$C:$C,"S"))</f>
        <v/>
      </c>
      <c r="O48" s="728" t="str">
        <f t="shared" si="38"/>
        <v/>
      </c>
      <c r="P48" s="729" t="str">
        <f>IF($B48=0,"",SUMIFS(INPUT_DATA!P:P,INPUT_DATA!$A:$A,$B48,INPUT_DATA!$C:$C,"S"))</f>
        <v/>
      </c>
      <c r="Q48" s="729" t="str">
        <f t="shared" si="39"/>
        <v/>
      </c>
      <c r="R48" s="735" t="str">
        <f>IF($B48=0,"",SUMIFS(INPUT_DATA!Q:Q,INPUT_DATA!$A:$A,$B48,INPUT_DATA!$C:$C,"S"))</f>
        <v/>
      </c>
      <c r="S48" s="735" t="str">
        <f>IF($B48=0,"",SUMIFS(INPUT_DATA!R:R,INPUT_DATA!$A:$A,$B48,INPUT_DATA!$C:$C,"S"))</f>
        <v/>
      </c>
      <c r="T48" s="735" t="str">
        <f>IF($B48=0,"",SUMIFS(INPUT_DATA!S:S,INPUT_DATA!$A:$A,$B48,INPUT_DATA!$C:$C,"S"))</f>
        <v/>
      </c>
      <c r="U48" s="312" t="str">
        <f>IF($B48=0,"",SUMIFS(INPUT_DATA!T:T,INPUT_DATA!$A:$A,$B48,INPUT_DATA!$C:$C,"S"))</f>
        <v/>
      </c>
      <c r="V48" s="312" t="str">
        <f>IF($B48=0,"",SUMIFS(INPUT_DATA!U:U,INPUT_DATA!$A:$A,$B48,INPUT_DATA!$C:$C,"S"))</f>
        <v/>
      </c>
      <c r="W48" s="312" t="str">
        <f>IF($B48=0,"",SUMIFS(INPUT_DATA!V:V,INPUT_DATA!$A:$A,$B48,INPUT_DATA!$C:$C,"S"))</f>
        <v/>
      </c>
      <c r="X48" s="312" t="str">
        <f>IF($B48=0,"",SUMIFS(INPUT_DATA!W:W,INPUT_DATA!$A:$A,$B48,INPUT_DATA!$C:$C,"S"))</f>
        <v/>
      </c>
      <c r="Y48" s="312" t="str">
        <f>IF($B48=0,"",SUMIFS(INPUT_DATA!X:X,INPUT_DATA!$A:$A,$B48,INPUT_DATA!$C:$C,"S"))</f>
        <v/>
      </c>
      <c r="Z48" s="312" t="str">
        <f>IF($B48=0,"",SUMIFS(INPUT_DATA!Y:Y,INPUT_DATA!$A:$A,$B48,INPUT_DATA!$C:$C,"S"))</f>
        <v/>
      </c>
      <c r="AA48" s="312" t="str">
        <f>IF($B48=0,"",SUMIFS(INPUT_DATA!Z:Z,INPUT_DATA!$A:$A,$B48,INPUT_DATA!$C:$C,"S"))</f>
        <v/>
      </c>
      <c r="AB48" s="312" t="str">
        <f>IF($B48=0,"",SUMIFS(INPUT_DATA!AA:AA,INPUT_DATA!$A:$A,$B48,INPUT_DATA!$C:$C,"S"))</f>
        <v/>
      </c>
      <c r="AC48" s="312" t="str">
        <f>IF($B48=0,"",SUMIFS(INPUT_DATA!AB:AB,INPUT_DATA!$A:$A,$B48,INPUT_DATA!$C:$C,"S"))</f>
        <v/>
      </c>
      <c r="AD48" s="312" t="str">
        <f>IF($B48=0,"",SUMIFS(INPUT_DATA!AC:AC,INPUT_DATA!$A:$A,$B48,INPUT_DATA!$C:$C,"S"))</f>
        <v/>
      </c>
      <c r="AE48" s="312" t="str">
        <f>IF($B48=0,"",SUMIFS(INPUT_DATA!AD:AD,INPUT_DATA!$A:$A,$B48,INPUT_DATA!$C:$C,"S"))</f>
        <v/>
      </c>
      <c r="AF48" s="312" t="str">
        <f>IF($B48=0,"",SUMIFS(INPUT_DATA!AE:AE,INPUT_DATA!$A:$A,$B48,INPUT_DATA!$C:$C,"S"))</f>
        <v/>
      </c>
      <c r="AG48" s="312" t="str">
        <f>IF($B48=0,"",SUMIFS(INPUT_DATA!AF:AF,INPUT_DATA!$A:$A,$B48,INPUT_DATA!$C:$C,"S"))</f>
        <v/>
      </c>
      <c r="AH48" s="312" t="str">
        <f>IF($B48=0,"",SUMIFS(INPUT_DATA!AG:AG,INPUT_DATA!$A:$A,$B48,INPUT_DATA!$C:$C,"S"))</f>
        <v/>
      </c>
      <c r="AI48" s="312" t="str">
        <f>IF($B48=0,"",SUMIFS(INPUT_DATA!AH:AH,INPUT_DATA!$A:$A,$B48,INPUT_DATA!$C:$C,"S"))</f>
        <v/>
      </c>
      <c r="AJ48" s="312" t="str">
        <f>IF($B48=0,"",SUMIFS(INPUT_DATA!AI:AI,INPUT_DATA!$A:$A,$B48,INPUT_DATA!$C:$C,"S"))</f>
        <v/>
      </c>
      <c r="AK48" s="312" t="str">
        <f>IF($B48=0,"",SUMIFS(INPUT_DATA!AJ:AJ,INPUT_DATA!$A:$A,$B48,INPUT_DATA!$C:$C,"S"))</f>
        <v/>
      </c>
      <c r="AL48" s="312" t="str">
        <f>IF($B48=0,"",SUMIFS(INPUT_DATA!AK:AK,INPUT_DATA!$A:$A,$B48,INPUT_DATA!$C:$C,"S"))</f>
        <v/>
      </c>
      <c r="AM48" s="312" t="str">
        <f>IF($B48=0,"",SUMIFS(INPUT_DATA!AL:AL,INPUT_DATA!$A:$A,$B48,INPUT_DATA!$C:$C,"S"))</f>
        <v/>
      </c>
      <c r="AN48" s="312" t="str">
        <f>IF($B48=0,"",SUMIFS(INPUT_DATA!AM:AM,INPUT_DATA!$A:$A,$B48,INPUT_DATA!$C:$C,"S"))</f>
        <v/>
      </c>
      <c r="AO48" s="312" t="str">
        <f>IF($B48=0,"",SUMIFS(INPUT_DATA!AN:AN,INPUT_DATA!$A:$A,$B48,INPUT_DATA!$C:$C,"S"))</f>
        <v/>
      </c>
      <c r="AP48" s="312" t="str">
        <f>IF($B48=0,"",SUMIFS(INPUT_DATA!AO:AO,INPUT_DATA!$A:$A,$B48,INPUT_DATA!$C:$C,"S"))</f>
        <v/>
      </c>
      <c r="AQ48" s="312" t="str">
        <f>IF($B48=0,"",SUMIFS(INPUT_DATA!AP:AP,INPUT_DATA!$A:$A,$B48,INPUT_DATA!$C:$C,"S"))</f>
        <v/>
      </c>
      <c r="AR48" s="312" t="str">
        <f>IF($B48=0,"",SUMIFS(INPUT_DATA!AQ:AQ,INPUT_DATA!$A:$A,$B48,INPUT_DATA!$C:$C,"S"))</f>
        <v/>
      </c>
      <c r="AS48" s="736" t="str">
        <f t="shared" si="29"/>
        <v/>
      </c>
      <c r="AT48" s="737" t="str">
        <f t="shared" si="30"/>
        <v/>
      </c>
      <c r="AU48" s="738" t="str">
        <f t="shared" si="31"/>
        <v/>
      </c>
      <c r="AV48" s="736" t="str">
        <f>IF($B48=0,"",SUMIFS(INPUT_DATA!AR:AR,INPUT_DATA!$A:$A,$B48,INPUT_DATA!$C:$C,"S"))</f>
        <v/>
      </c>
      <c r="AW48" s="737" t="str">
        <f>IF($B48=0,"",SUMIFS(INPUT_DATA!AS:AS,INPUT_DATA!$A:$A,$B48,INPUT_DATA!$C:$C,"S"))</f>
        <v/>
      </c>
      <c r="AX48" s="738" t="str">
        <f>IF($B48=0,"",SUMIFS(INPUT_DATA!AT:AT,INPUT_DATA!$A:$A,$B48,INPUT_DATA!$C:$C,"S"))</f>
        <v/>
      </c>
      <c r="AY48" s="736" t="str">
        <f t="shared" si="15"/>
        <v/>
      </c>
      <c r="AZ48" s="737" t="str">
        <f t="shared" si="16"/>
        <v/>
      </c>
      <c r="BA48" s="738" t="str">
        <f t="shared" si="17"/>
        <v/>
      </c>
      <c r="BB48" s="150"/>
      <c r="BC48" s="725" t="str">
        <f>IF($B48=0,"",SUMIFS(INPUT_DATA!D:D,INPUT_DATA!$A:$A,$B48,INPUT_DATA!$C:$C,"D"))</f>
        <v/>
      </c>
      <c r="BD48" s="311" t="str">
        <f>IF($B48=0,"",SUMIFS(INPUT_DATA!F:F,INPUT_DATA!$A:$A,$B48,INPUT_DATA!$C:$C,"D"))</f>
        <v/>
      </c>
      <c r="BE48" s="311" t="str">
        <f>IF($B48=0,"",SUMIFS(INPUT_DATA!G:G,INPUT_DATA!$A:$A,$B48,INPUT_DATA!$C:$C,"D"))</f>
        <v/>
      </c>
      <c r="BF48" s="311" t="str">
        <f>IF($B48=0,"",SUMIFS(INPUT_DATA!H:H,INPUT_DATA!$A:$A,$B48,INPUT_DATA!$C:$C,"D"))</f>
        <v/>
      </c>
      <c r="BG48" s="311" t="str">
        <f>IF($B48=0,"",SUMIFS(INPUT_DATA!I:I,INPUT_DATA!$A:$A,$B48,INPUT_DATA!$C:$C,"D"))</f>
        <v/>
      </c>
      <c r="BH48" s="311" t="str">
        <f>IF($B48=0,"",SUMIFS(INPUT_DATA!J:J,INPUT_DATA!$A:$A,$B48,INPUT_DATA!$C:$C,"D"))</f>
        <v/>
      </c>
      <c r="BI48" s="311" t="str">
        <f>IF($B48=0,"",SUMIFS(INPUT_DATA!K:K,INPUT_DATA!$A:$A,$B48,INPUT_DATA!$C:$C,"D"))</f>
        <v/>
      </c>
      <c r="BJ48" s="311" t="str">
        <f>IF($B48=0,"",SUMIFS(INPUT_DATA!L:L,INPUT_DATA!$A:$A,$B48,INPUT_DATA!$C:$C,"D"))</f>
        <v/>
      </c>
      <c r="BK48" s="311" t="str">
        <f>IF($B48=0,"",SUMIFS(INPUT_DATA!M:M,INPUT_DATA!$A:$A,$B48,INPUT_DATA!$C:$C,"D"))</f>
        <v/>
      </c>
      <c r="BL48" s="311" t="str">
        <f>IF($B48=0,"",SUMIFS(INPUT_DATA!N:N,INPUT_DATA!$A:$A,$B48,INPUT_DATA!$C:$C,"D"))</f>
        <v/>
      </c>
      <c r="BM48" s="311" t="str">
        <f>IF($B48=0,"",SUMIFS(INPUT_DATA!O:O,INPUT_DATA!$A:$A,$B48,INPUT_DATA!$C:$C,"D"))</f>
        <v/>
      </c>
      <c r="BN48" s="741" t="str">
        <f t="shared" si="18"/>
        <v/>
      </c>
      <c r="BO48" s="741" t="str">
        <f>IF($B48=0,"",SUMIFS(INPUT_DATA!O:O,INPUT_DATA!$A:$A,$B48,INPUT_DATA!$C:$C,"D"))</f>
        <v/>
      </c>
      <c r="BP48" s="741" t="str">
        <f t="shared" si="19"/>
        <v/>
      </c>
      <c r="BQ48" s="725" t="str">
        <f>IF($B48=0,"",SUMIFS(INPUT_DATA!Q:Q,INPUT_DATA!$A:$A,$B48,INPUT_DATA!$C:$C,"D"))</f>
        <v/>
      </c>
      <c r="BR48" s="747" t="str">
        <f>IF($B48=0,"",SUMIFS(INPUT_DATA!R:R,INPUT_DATA!$A:$A,$B48,INPUT_DATA!$C:$C,"D"))</f>
        <v/>
      </c>
      <c r="BS48" s="747" t="str">
        <f>IF($B48=0,"",SUMIFS(INPUT_DATA!S:S,INPUT_DATA!$A:$A,$B48,INPUT_DATA!$C:$C,"D"))</f>
        <v/>
      </c>
      <c r="BT48" s="311" t="str">
        <f>IF($B48=0,"",SUMIFS(INPUT_DATA!T:T,INPUT_DATA!$A:$A,$B48,INPUT_DATA!$C:$C,"D"))</f>
        <v/>
      </c>
      <c r="BU48" s="311" t="str">
        <f>IF($B48=0,"",SUMIFS(INPUT_DATA!U:U,INPUT_DATA!$A:$A,$B48,INPUT_DATA!$C:$C,"D"))</f>
        <v/>
      </c>
      <c r="BV48" s="311" t="str">
        <f>IF($B48=0,"",SUMIFS(INPUT_DATA!V:V,INPUT_DATA!$A:$A,$B48,INPUT_DATA!$C:$C,"D"))</f>
        <v/>
      </c>
      <c r="BW48" s="311" t="str">
        <f>IF($B48=0,"",SUMIFS(INPUT_DATA!W:W,INPUT_DATA!$A:$A,$B48,INPUT_DATA!$C:$C,"D"))</f>
        <v/>
      </c>
      <c r="BX48" s="311" t="str">
        <f>IF($B48=0,"",SUMIFS(INPUT_DATA!X:X,INPUT_DATA!$A:$A,$B48,INPUT_DATA!$C:$C,"D"))</f>
        <v/>
      </c>
      <c r="BY48" s="311" t="str">
        <f>IF($B48=0,"",SUMIFS(INPUT_DATA!Y:Y,INPUT_DATA!$A:$A,$B48,INPUT_DATA!$C:$C,"D"))</f>
        <v/>
      </c>
      <c r="BZ48" s="352" t="str">
        <f>IF($B48=0,"",SUMIFS(INPUT_DATA!Z:Z,INPUT_DATA!$A:$A,$B48,INPUT_DATA!$C:$C,"D"))</f>
        <v/>
      </c>
      <c r="CA48" s="352" t="str">
        <f>IF($B48=0,"",SUMIFS(INPUT_DATA!AA:AA,INPUT_DATA!$A:$A,$B48,INPUT_DATA!$C:$C,"D"))</f>
        <v/>
      </c>
      <c r="CB48" s="352" t="str">
        <f>IF($B48=0,"",SUMIFS(INPUT_DATA!AB:AB,INPUT_DATA!$A:$A,$B48,INPUT_DATA!$C:$C,"D"))</f>
        <v/>
      </c>
      <c r="CC48" s="311" t="str">
        <f>IF($B48=0,"",SUMIFS(INPUT_DATA!AC:AC,INPUT_DATA!$A:$A,$B48,INPUT_DATA!$C:$C,"D"))</f>
        <v/>
      </c>
      <c r="CD48" s="311" t="str">
        <f>IF($B48=0,"",SUMIFS(INPUT_DATA!AD:AD,INPUT_DATA!$A:$A,$B48,INPUT_DATA!$C:$C,"D"))</f>
        <v/>
      </c>
      <c r="CE48" s="311" t="str">
        <f>IF($B48=0,"",SUMIFS(INPUT_DATA!AE:AE,INPUT_DATA!$A:$A,$B48,INPUT_DATA!$C:$C,"D"))</f>
        <v/>
      </c>
      <c r="CF48" s="352" t="str">
        <f>IF($B48=0,"",SUMIFS(INPUT_DATA!AF:AF,INPUT_DATA!$A:$A,$B48,INPUT_DATA!$C:$C,"D"))</f>
        <v/>
      </c>
      <c r="CG48" s="352" t="str">
        <f>IF($B48=0,"",SUMIFS(INPUT_DATA!AG:AG,INPUT_DATA!$A:$A,$B48,INPUT_DATA!$C:$C,"D"))</f>
        <v/>
      </c>
      <c r="CH48" s="352" t="str">
        <f>IF($B48=0,"",SUMIFS(INPUT_DATA!AH:AH,INPUT_DATA!$A:$A,$B48,INPUT_DATA!$C:$C,"D"))</f>
        <v/>
      </c>
      <c r="CI48" s="153" t="str">
        <f>IF($B48=0,"",SUMIFS(INPUT_DATA!AI:AI,INPUT_DATA!$A:$A,$B48,INPUT_DATA!$C:$C,"D"))</f>
        <v/>
      </c>
      <c r="CJ48" s="153" t="str">
        <f>IF($B48=0,"",SUMIFS(INPUT_DATA!AJ:AJ,INPUT_DATA!$A:$A,$B48,INPUT_DATA!$C:$C,"D"))</f>
        <v/>
      </c>
      <c r="CK48" s="153" t="str">
        <f>IF($B48=0,"",SUMIFS(INPUT_DATA!AK:AK,INPUT_DATA!$A:$A,$B48,INPUT_DATA!$C:$C,"D"))</f>
        <v/>
      </c>
      <c r="CL48" s="153" t="str">
        <f>IF($B48=0,"",SUMIFS(INPUT_DATA!AL:AL,INPUT_DATA!$A:$A,$B48,INPUT_DATA!$C:$C,"D"))</f>
        <v/>
      </c>
      <c r="CM48" s="153" t="str">
        <f>IF($B48=0,"",SUMIFS(INPUT_DATA!AM:AM,INPUT_DATA!$A:$A,$B48,INPUT_DATA!$C:$C,"D"))</f>
        <v/>
      </c>
      <c r="CN48" s="153" t="str">
        <f>IF($B48=0,"",SUMIFS(INPUT_DATA!AN:AN,INPUT_DATA!$A:$A,$B48,INPUT_DATA!$C:$C,"D"))</f>
        <v/>
      </c>
      <c r="CO48" s="153" t="str">
        <f>IF($B48=0,"",SUMIFS(INPUT_DATA!AO:AO,INPUT_DATA!$A:$A,$B48,INPUT_DATA!$C:$C,"D"))</f>
        <v/>
      </c>
      <c r="CP48" s="153" t="str">
        <f>IF($B48=0,"",SUMIFS(INPUT_DATA!AP:AP,INPUT_DATA!$A:$A,$B48,INPUT_DATA!$C:$C,"D"))</f>
        <v/>
      </c>
      <c r="CQ48" s="153" t="str">
        <f>IF($B48=0,"",SUMIFS(INPUT_DATA!AQ:AQ,INPUT_DATA!$A:$A,$B48,INPUT_DATA!$C:$C,"D"))</f>
        <v/>
      </c>
      <c r="CR48" s="737" t="str">
        <f t="shared" si="32"/>
        <v/>
      </c>
      <c r="CS48" s="737" t="str">
        <f t="shared" si="33"/>
        <v/>
      </c>
      <c r="CT48" s="737" t="str">
        <f t="shared" si="34"/>
        <v/>
      </c>
      <c r="CU48" s="726" t="str">
        <f>IF($B48=0,"",SUMIFS(INPUT_DATA!AR:AR,INPUT_DATA!$A:$A,$B48,INPUT_DATA!$C:$C,"D"))</f>
        <v/>
      </c>
      <c r="CV48" s="726" t="str">
        <f>IF($B48=0,"",SUMIFS(INPUT_DATA!AS:AS,INPUT_DATA!$A:$A,$B48,INPUT_DATA!$C:$C,"D"))</f>
        <v/>
      </c>
      <c r="CW48" s="726" t="str">
        <f>IF($B48=0,"",SUMIFS(INPUT_DATA!AT:AT,INPUT_DATA!$A:$A,$B48,INPUT_DATA!$C:$C,"D"))</f>
        <v/>
      </c>
      <c r="CX48" s="726" t="str">
        <f t="shared" si="35"/>
        <v/>
      </c>
      <c r="CY48" s="737" t="str">
        <f t="shared" si="36"/>
        <v/>
      </c>
      <c r="CZ48" s="748" t="str">
        <f t="shared" si="37"/>
        <v/>
      </c>
      <c r="DA48" s="150"/>
    </row>
    <row r="49" spans="1:105" x14ac:dyDescent="0.2">
      <c r="A49" s="172">
        <f t="shared" si="40"/>
        <v>-2</v>
      </c>
      <c r="B49" s="720">
        <f>INPUT_DATA!BQ36</f>
        <v>0</v>
      </c>
      <c r="C49" s="725" t="str">
        <f>IF($B49=0,"",SUMIFS(INPUT_DATA!D:D,INPUT_DATA!$A:$A,$B49,INPUT_DATA!$C:$C,"S"))</f>
        <v/>
      </c>
      <c r="D49" s="726" t="str">
        <f>IF($B49=0,"",SUMIFS(INPUT_DATA!E:E,INPUT_DATA!$A:$A,$B49,INPUT_DATA!$C:$C,"S"))</f>
        <v/>
      </c>
      <c r="E49" s="727" t="str">
        <f>IF($B49=0,"",SUMIFS(INPUT_DATA!F:F,INPUT_DATA!$A:$A,$B49,INPUT_DATA!$C:$C,"S"))</f>
        <v/>
      </c>
      <c r="F49" s="727" t="str">
        <f>IF($B49=0,"",SUMIFS(INPUT_DATA!G:G,INPUT_DATA!$A:$A,$B49,INPUT_DATA!$C:$C,"S"))</f>
        <v/>
      </c>
      <c r="G49" s="727" t="str">
        <f>IF($B49=0,"",SUMIFS(INPUT_DATA!H:H,INPUT_DATA!$A:$A,$B49,INPUT_DATA!$C:$C,"S"))</f>
        <v/>
      </c>
      <c r="H49" s="727" t="str">
        <f>IF($B49=0,"",SUMIFS(INPUT_DATA!I:I,INPUT_DATA!$A:$A,$B49,INPUT_DATA!$C:$C,"S"))</f>
        <v/>
      </c>
      <c r="I49" s="727" t="str">
        <f>IF($B49=0,"",SUMIFS(INPUT_DATA!J:J,INPUT_DATA!$A:$A,$B49,INPUT_DATA!$C:$C,"S"))</f>
        <v/>
      </c>
      <c r="J49" s="727" t="str">
        <f>IF($B49=0,"",SUMIFS(INPUT_DATA!K:K,INPUT_DATA!$A:$A,$B49,INPUT_DATA!$C:$C,"S"))</f>
        <v/>
      </c>
      <c r="K49" s="727" t="str">
        <f>IF($B49=0,"",SUMIFS(INPUT_DATA!L:L,INPUT_DATA!$A:$A,$B49,INPUT_DATA!$C:$C,"S"))</f>
        <v/>
      </c>
      <c r="L49" s="727" t="str">
        <f>IF($B49=0,"",SUMIFS(INPUT_DATA!M:M,INPUT_DATA!$A:$A,$B49,INPUT_DATA!$C:$C,"S"))</f>
        <v/>
      </c>
      <c r="M49" s="727" t="str">
        <f>IF($B49=0,"",SUMIFS(INPUT_DATA!N:N,INPUT_DATA!$A:$A,$B49,INPUT_DATA!$C:$C,"S"))</f>
        <v/>
      </c>
      <c r="N49" s="727" t="str">
        <f>IF($B49=0,"",SUMIFS(INPUT_DATA!O:O,INPUT_DATA!$A:$A,$B49,INPUT_DATA!$C:$C,"S"))</f>
        <v/>
      </c>
      <c r="O49" s="728" t="str">
        <f t="shared" si="38"/>
        <v/>
      </c>
      <c r="P49" s="729" t="str">
        <f>IF($B49=0,"",SUMIFS(INPUT_DATA!P:P,INPUT_DATA!$A:$A,$B49,INPUT_DATA!$C:$C,"S"))</f>
        <v/>
      </c>
      <c r="Q49" s="729" t="str">
        <f t="shared" si="39"/>
        <v/>
      </c>
      <c r="R49" s="735" t="str">
        <f>IF($B49=0,"",SUMIFS(INPUT_DATA!Q:Q,INPUT_DATA!$A:$A,$B49,INPUT_DATA!$C:$C,"S"))</f>
        <v/>
      </c>
      <c r="S49" s="735" t="str">
        <f>IF($B49=0,"",SUMIFS(INPUT_DATA!R:R,INPUT_DATA!$A:$A,$B49,INPUT_DATA!$C:$C,"S"))</f>
        <v/>
      </c>
      <c r="T49" s="735" t="str">
        <f>IF($B49=0,"",SUMIFS(INPUT_DATA!S:S,INPUT_DATA!$A:$A,$B49,INPUT_DATA!$C:$C,"S"))</f>
        <v/>
      </c>
      <c r="U49" s="312" t="str">
        <f>IF($B49=0,"",SUMIFS(INPUT_DATA!T:T,INPUT_DATA!$A:$A,$B49,INPUT_DATA!$C:$C,"S"))</f>
        <v/>
      </c>
      <c r="V49" s="312" t="str">
        <f>IF($B49=0,"",SUMIFS(INPUT_DATA!U:U,INPUT_DATA!$A:$A,$B49,INPUT_DATA!$C:$C,"S"))</f>
        <v/>
      </c>
      <c r="W49" s="312" t="str">
        <f>IF($B49=0,"",SUMIFS(INPUT_DATA!V:V,INPUT_DATA!$A:$A,$B49,INPUT_DATA!$C:$C,"S"))</f>
        <v/>
      </c>
      <c r="X49" s="312" t="str">
        <f>IF($B49=0,"",SUMIFS(INPUT_DATA!W:W,INPUT_DATA!$A:$A,$B49,INPUT_DATA!$C:$C,"S"))</f>
        <v/>
      </c>
      <c r="Y49" s="312" t="str">
        <f>IF($B49=0,"",SUMIFS(INPUT_DATA!X:X,INPUT_DATA!$A:$A,$B49,INPUT_DATA!$C:$C,"S"))</f>
        <v/>
      </c>
      <c r="Z49" s="312" t="str">
        <f>IF($B49=0,"",SUMIFS(INPUT_DATA!Y:Y,INPUT_DATA!$A:$A,$B49,INPUT_DATA!$C:$C,"S"))</f>
        <v/>
      </c>
      <c r="AA49" s="312" t="str">
        <f>IF($B49=0,"",SUMIFS(INPUT_DATA!Z:Z,INPUT_DATA!$A:$A,$B49,INPUT_DATA!$C:$C,"S"))</f>
        <v/>
      </c>
      <c r="AB49" s="312" t="str">
        <f>IF($B49=0,"",SUMIFS(INPUT_DATA!AA:AA,INPUT_DATA!$A:$A,$B49,INPUT_DATA!$C:$C,"S"))</f>
        <v/>
      </c>
      <c r="AC49" s="312" t="str">
        <f>IF($B49=0,"",SUMIFS(INPUT_DATA!AB:AB,INPUT_DATA!$A:$A,$B49,INPUT_DATA!$C:$C,"S"))</f>
        <v/>
      </c>
      <c r="AD49" s="312" t="str">
        <f>IF($B49=0,"",SUMIFS(INPUT_DATA!AC:AC,INPUT_DATA!$A:$A,$B49,INPUT_DATA!$C:$C,"S"))</f>
        <v/>
      </c>
      <c r="AE49" s="312" t="str">
        <f>IF($B49=0,"",SUMIFS(INPUT_DATA!AD:AD,INPUT_DATA!$A:$A,$B49,INPUT_DATA!$C:$C,"S"))</f>
        <v/>
      </c>
      <c r="AF49" s="312" t="str">
        <f>IF($B49=0,"",SUMIFS(INPUT_DATA!AE:AE,INPUT_DATA!$A:$A,$B49,INPUT_DATA!$C:$C,"S"))</f>
        <v/>
      </c>
      <c r="AG49" s="312" t="str">
        <f>IF($B49=0,"",SUMIFS(INPUT_DATA!AF:AF,INPUT_DATA!$A:$A,$B49,INPUT_DATA!$C:$C,"S"))</f>
        <v/>
      </c>
      <c r="AH49" s="312" t="str">
        <f>IF($B49=0,"",SUMIFS(INPUT_DATA!AG:AG,INPUT_DATA!$A:$A,$B49,INPUT_DATA!$C:$C,"S"))</f>
        <v/>
      </c>
      <c r="AI49" s="312" t="str">
        <f>IF($B49=0,"",SUMIFS(INPUT_DATA!AH:AH,INPUT_DATA!$A:$A,$B49,INPUT_DATA!$C:$C,"S"))</f>
        <v/>
      </c>
      <c r="AJ49" s="312" t="str">
        <f>IF($B49=0,"",SUMIFS(INPUT_DATA!AI:AI,INPUT_DATA!$A:$A,$B49,INPUT_DATA!$C:$C,"S"))</f>
        <v/>
      </c>
      <c r="AK49" s="312" t="str">
        <f>IF($B49=0,"",SUMIFS(INPUT_DATA!AJ:AJ,INPUT_DATA!$A:$A,$B49,INPUT_DATA!$C:$C,"S"))</f>
        <v/>
      </c>
      <c r="AL49" s="312" t="str">
        <f>IF($B49=0,"",SUMIFS(INPUT_DATA!AK:AK,INPUT_DATA!$A:$A,$B49,INPUT_DATA!$C:$C,"S"))</f>
        <v/>
      </c>
      <c r="AM49" s="312" t="str">
        <f>IF($B49=0,"",SUMIFS(INPUT_DATA!AL:AL,INPUT_DATA!$A:$A,$B49,INPUT_DATA!$C:$C,"S"))</f>
        <v/>
      </c>
      <c r="AN49" s="312" t="str">
        <f>IF($B49=0,"",SUMIFS(INPUT_DATA!AM:AM,INPUT_DATA!$A:$A,$B49,INPUT_DATA!$C:$C,"S"))</f>
        <v/>
      </c>
      <c r="AO49" s="312" t="str">
        <f>IF($B49=0,"",SUMIFS(INPUT_DATA!AN:AN,INPUT_DATA!$A:$A,$B49,INPUT_DATA!$C:$C,"S"))</f>
        <v/>
      </c>
      <c r="AP49" s="312" t="str">
        <f>IF($B49=0,"",SUMIFS(INPUT_DATA!AO:AO,INPUT_DATA!$A:$A,$B49,INPUT_DATA!$C:$C,"S"))</f>
        <v/>
      </c>
      <c r="AQ49" s="312" t="str">
        <f>IF($B49=0,"",SUMIFS(INPUT_DATA!AP:AP,INPUT_DATA!$A:$A,$B49,INPUT_DATA!$C:$C,"S"))</f>
        <v/>
      </c>
      <c r="AR49" s="312" t="str">
        <f>IF($B49=0,"",SUMIFS(INPUT_DATA!AQ:AQ,INPUT_DATA!$A:$A,$B49,INPUT_DATA!$C:$C,"S"))</f>
        <v/>
      </c>
      <c r="AS49" s="736" t="str">
        <f t="shared" si="29"/>
        <v/>
      </c>
      <c r="AT49" s="737" t="str">
        <f t="shared" si="30"/>
        <v/>
      </c>
      <c r="AU49" s="738" t="str">
        <f t="shared" si="31"/>
        <v/>
      </c>
      <c r="AV49" s="736" t="str">
        <f>IF($B49=0,"",SUMIFS(INPUT_DATA!AR:AR,INPUT_DATA!$A:$A,$B49,INPUT_DATA!$C:$C,"S"))</f>
        <v/>
      </c>
      <c r="AW49" s="737" t="str">
        <f>IF($B49=0,"",SUMIFS(INPUT_DATA!AS:AS,INPUT_DATA!$A:$A,$B49,INPUT_DATA!$C:$C,"S"))</f>
        <v/>
      </c>
      <c r="AX49" s="738" t="str">
        <f>IF($B49=0,"",SUMIFS(INPUT_DATA!AT:AT,INPUT_DATA!$A:$A,$B49,INPUT_DATA!$C:$C,"S"))</f>
        <v/>
      </c>
      <c r="AY49" s="736" t="str">
        <f t="shared" si="15"/>
        <v/>
      </c>
      <c r="AZ49" s="737" t="str">
        <f t="shared" si="16"/>
        <v/>
      </c>
      <c r="BA49" s="738" t="str">
        <f t="shared" si="17"/>
        <v/>
      </c>
      <c r="BB49" s="150"/>
      <c r="BC49" s="725" t="str">
        <f>IF($B49=0,"",SUMIFS(INPUT_DATA!D:D,INPUT_DATA!$A:$A,$B49,INPUT_DATA!$C:$C,"D"))</f>
        <v/>
      </c>
      <c r="BD49" s="311" t="str">
        <f>IF($B49=0,"",SUMIFS(INPUT_DATA!F:F,INPUT_DATA!$A:$A,$B49,INPUT_DATA!$C:$C,"D"))</f>
        <v/>
      </c>
      <c r="BE49" s="311" t="str">
        <f>IF($B49=0,"",SUMIFS(INPUT_DATA!G:G,INPUT_DATA!$A:$A,$B49,INPUT_DATA!$C:$C,"D"))</f>
        <v/>
      </c>
      <c r="BF49" s="311" t="str">
        <f>IF($B49=0,"",SUMIFS(INPUT_DATA!H:H,INPUT_DATA!$A:$A,$B49,INPUT_DATA!$C:$C,"D"))</f>
        <v/>
      </c>
      <c r="BG49" s="311" t="str">
        <f>IF($B49=0,"",SUMIFS(INPUT_DATA!I:I,INPUT_DATA!$A:$A,$B49,INPUT_DATA!$C:$C,"D"))</f>
        <v/>
      </c>
      <c r="BH49" s="311" t="str">
        <f>IF($B49=0,"",SUMIFS(INPUT_DATA!J:J,INPUT_DATA!$A:$A,$B49,INPUT_DATA!$C:$C,"D"))</f>
        <v/>
      </c>
      <c r="BI49" s="311" t="str">
        <f>IF($B49=0,"",SUMIFS(INPUT_DATA!K:K,INPUT_DATA!$A:$A,$B49,INPUT_DATA!$C:$C,"D"))</f>
        <v/>
      </c>
      <c r="BJ49" s="311" t="str">
        <f>IF($B49=0,"",SUMIFS(INPUT_DATA!L:L,INPUT_DATA!$A:$A,$B49,INPUT_DATA!$C:$C,"D"))</f>
        <v/>
      </c>
      <c r="BK49" s="311" t="str">
        <f>IF($B49=0,"",SUMIFS(INPUT_DATA!M:M,INPUT_DATA!$A:$A,$B49,INPUT_DATA!$C:$C,"D"))</f>
        <v/>
      </c>
      <c r="BL49" s="311" t="str">
        <f>IF($B49=0,"",SUMIFS(INPUT_DATA!N:N,INPUT_DATA!$A:$A,$B49,INPUT_DATA!$C:$C,"D"))</f>
        <v/>
      </c>
      <c r="BM49" s="311" t="str">
        <f>IF($B49=0,"",SUMIFS(INPUT_DATA!O:O,INPUT_DATA!$A:$A,$B49,INPUT_DATA!$C:$C,"D"))</f>
        <v/>
      </c>
      <c r="BN49" s="741" t="str">
        <f t="shared" si="18"/>
        <v/>
      </c>
      <c r="BO49" s="741" t="str">
        <f>IF($B49=0,"",SUMIFS(INPUT_DATA!O:O,INPUT_DATA!$A:$A,$B49,INPUT_DATA!$C:$C,"D"))</f>
        <v/>
      </c>
      <c r="BP49" s="741" t="str">
        <f t="shared" si="19"/>
        <v/>
      </c>
      <c r="BQ49" s="725" t="str">
        <f>IF($B49=0,"",SUMIFS(INPUT_DATA!Q:Q,INPUT_DATA!$A:$A,$B49,INPUT_DATA!$C:$C,"D"))</f>
        <v/>
      </c>
      <c r="BR49" s="747" t="str">
        <f>IF($B49=0,"",SUMIFS(INPUT_DATA!R:R,INPUT_DATA!$A:$A,$B49,INPUT_DATA!$C:$C,"D"))</f>
        <v/>
      </c>
      <c r="BS49" s="747" t="str">
        <f>IF($B49=0,"",SUMIFS(INPUT_DATA!S:S,INPUT_DATA!$A:$A,$B49,INPUT_DATA!$C:$C,"D"))</f>
        <v/>
      </c>
      <c r="BT49" s="311" t="str">
        <f>IF($B49=0,"",SUMIFS(INPUT_DATA!T:T,INPUT_DATA!$A:$A,$B49,INPUT_DATA!$C:$C,"D"))</f>
        <v/>
      </c>
      <c r="BU49" s="311" t="str">
        <f>IF($B49=0,"",SUMIFS(INPUT_DATA!U:U,INPUT_DATA!$A:$A,$B49,INPUT_DATA!$C:$C,"D"))</f>
        <v/>
      </c>
      <c r="BV49" s="311" t="str">
        <f>IF($B49=0,"",SUMIFS(INPUT_DATA!V:V,INPUT_DATA!$A:$A,$B49,INPUT_DATA!$C:$C,"D"))</f>
        <v/>
      </c>
      <c r="BW49" s="311" t="str">
        <f>IF($B49=0,"",SUMIFS(INPUT_DATA!W:W,INPUT_DATA!$A:$A,$B49,INPUT_DATA!$C:$C,"D"))</f>
        <v/>
      </c>
      <c r="BX49" s="311" t="str">
        <f>IF($B49=0,"",SUMIFS(INPUT_DATA!X:X,INPUT_DATA!$A:$A,$B49,INPUT_DATA!$C:$C,"D"))</f>
        <v/>
      </c>
      <c r="BY49" s="311" t="str">
        <f>IF($B49=0,"",SUMIFS(INPUT_DATA!Y:Y,INPUT_DATA!$A:$A,$B49,INPUT_DATA!$C:$C,"D"))</f>
        <v/>
      </c>
      <c r="BZ49" s="352" t="str">
        <f>IF($B49=0,"",SUMIFS(INPUT_DATA!Z:Z,INPUT_DATA!$A:$A,$B49,INPUT_DATA!$C:$C,"D"))</f>
        <v/>
      </c>
      <c r="CA49" s="352" t="str">
        <f>IF($B49=0,"",SUMIFS(INPUT_DATA!AA:AA,INPUT_DATA!$A:$A,$B49,INPUT_DATA!$C:$C,"D"))</f>
        <v/>
      </c>
      <c r="CB49" s="352" t="str">
        <f>IF($B49=0,"",SUMIFS(INPUT_DATA!AB:AB,INPUT_DATA!$A:$A,$B49,INPUT_DATA!$C:$C,"D"))</f>
        <v/>
      </c>
      <c r="CC49" s="311" t="str">
        <f>IF($B49=0,"",SUMIFS(INPUT_DATA!AC:AC,INPUT_DATA!$A:$A,$B49,INPUT_DATA!$C:$C,"D"))</f>
        <v/>
      </c>
      <c r="CD49" s="311" t="str">
        <f>IF($B49=0,"",SUMIFS(INPUT_DATA!AD:AD,INPUT_DATA!$A:$A,$B49,INPUT_DATA!$C:$C,"D"))</f>
        <v/>
      </c>
      <c r="CE49" s="311" t="str">
        <f>IF($B49=0,"",SUMIFS(INPUT_DATA!AE:AE,INPUT_DATA!$A:$A,$B49,INPUT_DATA!$C:$C,"D"))</f>
        <v/>
      </c>
      <c r="CF49" s="352" t="str">
        <f>IF($B49=0,"",SUMIFS(INPUT_DATA!AF:AF,INPUT_DATA!$A:$A,$B49,INPUT_DATA!$C:$C,"D"))</f>
        <v/>
      </c>
      <c r="CG49" s="352" t="str">
        <f>IF($B49=0,"",SUMIFS(INPUT_DATA!AG:AG,INPUT_DATA!$A:$A,$B49,INPUT_DATA!$C:$C,"D"))</f>
        <v/>
      </c>
      <c r="CH49" s="352" t="str">
        <f>IF($B49=0,"",SUMIFS(INPUT_DATA!AH:AH,INPUT_DATA!$A:$A,$B49,INPUT_DATA!$C:$C,"D"))</f>
        <v/>
      </c>
      <c r="CI49" s="153" t="str">
        <f>IF($B49=0,"",SUMIFS(INPUT_DATA!AI:AI,INPUT_DATA!$A:$A,$B49,INPUT_DATA!$C:$C,"D"))</f>
        <v/>
      </c>
      <c r="CJ49" s="153" t="str">
        <f>IF($B49=0,"",SUMIFS(INPUT_DATA!AJ:AJ,INPUT_DATA!$A:$A,$B49,INPUT_DATA!$C:$C,"D"))</f>
        <v/>
      </c>
      <c r="CK49" s="153" t="str">
        <f>IF($B49=0,"",SUMIFS(INPUT_DATA!AK:AK,INPUT_DATA!$A:$A,$B49,INPUT_DATA!$C:$C,"D"))</f>
        <v/>
      </c>
      <c r="CL49" s="153" t="str">
        <f>IF($B49=0,"",SUMIFS(INPUT_DATA!AL:AL,INPUT_DATA!$A:$A,$B49,INPUT_DATA!$C:$C,"D"))</f>
        <v/>
      </c>
      <c r="CM49" s="153" t="str">
        <f>IF($B49=0,"",SUMIFS(INPUT_DATA!AM:AM,INPUT_DATA!$A:$A,$B49,INPUT_DATA!$C:$C,"D"))</f>
        <v/>
      </c>
      <c r="CN49" s="153" t="str">
        <f>IF($B49=0,"",SUMIFS(INPUT_DATA!AN:AN,INPUT_DATA!$A:$A,$B49,INPUT_DATA!$C:$C,"D"))</f>
        <v/>
      </c>
      <c r="CO49" s="153" t="str">
        <f>IF($B49=0,"",SUMIFS(INPUT_DATA!AO:AO,INPUT_DATA!$A:$A,$B49,INPUT_DATA!$C:$C,"D"))</f>
        <v/>
      </c>
      <c r="CP49" s="153" t="str">
        <f>IF($B49=0,"",SUMIFS(INPUT_DATA!AP:AP,INPUT_DATA!$A:$A,$B49,INPUT_DATA!$C:$C,"D"))</f>
        <v/>
      </c>
      <c r="CQ49" s="153" t="str">
        <f>IF($B49=0,"",SUMIFS(INPUT_DATA!AQ:AQ,INPUT_DATA!$A:$A,$B49,INPUT_DATA!$C:$C,"D"))</f>
        <v/>
      </c>
      <c r="CR49" s="737" t="str">
        <f t="shared" si="32"/>
        <v/>
      </c>
      <c r="CS49" s="737" t="str">
        <f t="shared" si="33"/>
        <v/>
      </c>
      <c r="CT49" s="737" t="str">
        <f t="shared" si="34"/>
        <v/>
      </c>
      <c r="CU49" s="726" t="str">
        <f>IF($B49=0,"",SUMIFS(INPUT_DATA!AR:AR,INPUT_DATA!$A:$A,$B49,INPUT_DATA!$C:$C,"D"))</f>
        <v/>
      </c>
      <c r="CV49" s="726" t="str">
        <f>IF($B49=0,"",SUMIFS(INPUT_DATA!AS:AS,INPUT_DATA!$A:$A,$B49,INPUT_DATA!$C:$C,"D"))</f>
        <v/>
      </c>
      <c r="CW49" s="726" t="str">
        <f>IF($B49=0,"",SUMIFS(INPUT_DATA!AT:AT,INPUT_DATA!$A:$A,$B49,INPUT_DATA!$C:$C,"D"))</f>
        <v/>
      </c>
      <c r="CX49" s="726" t="str">
        <f t="shared" si="35"/>
        <v/>
      </c>
      <c r="CY49" s="737" t="str">
        <f t="shared" si="36"/>
        <v/>
      </c>
      <c r="CZ49" s="748" t="str">
        <f t="shared" si="37"/>
        <v/>
      </c>
      <c r="DA49" s="150"/>
    </row>
    <row r="50" spans="1:105" x14ac:dyDescent="0.2">
      <c r="A50" s="172">
        <f t="shared" si="40"/>
        <v>-3</v>
      </c>
      <c r="B50" s="720">
        <f>INPUT_DATA!BQ37</f>
        <v>0</v>
      </c>
      <c r="C50" s="725" t="str">
        <f>IF($B50=0,"",SUMIFS(INPUT_DATA!D:D,INPUT_DATA!$A:$A,$B50,INPUT_DATA!$C:$C,"S"))</f>
        <v/>
      </c>
      <c r="D50" s="726" t="str">
        <f>IF($B50=0,"",SUMIFS(INPUT_DATA!E:E,INPUT_DATA!$A:$A,$B50,INPUT_DATA!$C:$C,"S"))</f>
        <v/>
      </c>
      <c r="E50" s="727" t="str">
        <f>IF($B50=0,"",SUMIFS(INPUT_DATA!F:F,INPUT_DATA!$A:$A,$B50,INPUT_DATA!$C:$C,"S"))</f>
        <v/>
      </c>
      <c r="F50" s="727" t="str">
        <f>IF($B50=0,"",SUMIFS(INPUT_DATA!G:G,INPUT_DATA!$A:$A,$B50,INPUT_DATA!$C:$C,"S"))</f>
        <v/>
      </c>
      <c r="G50" s="727" t="str">
        <f>IF($B50=0,"",SUMIFS(INPUT_DATA!H:H,INPUT_DATA!$A:$A,$B50,INPUT_DATA!$C:$C,"S"))</f>
        <v/>
      </c>
      <c r="H50" s="727" t="str">
        <f>IF($B50=0,"",SUMIFS(INPUT_DATA!I:I,INPUT_DATA!$A:$A,$B50,INPUT_DATA!$C:$C,"S"))</f>
        <v/>
      </c>
      <c r="I50" s="727" t="str">
        <f>IF($B50=0,"",SUMIFS(INPUT_DATA!J:J,INPUT_DATA!$A:$A,$B50,INPUT_DATA!$C:$C,"S"))</f>
        <v/>
      </c>
      <c r="J50" s="727" t="str">
        <f>IF($B50=0,"",SUMIFS(INPUT_DATA!K:K,INPUT_DATA!$A:$A,$B50,INPUT_DATA!$C:$C,"S"))</f>
        <v/>
      </c>
      <c r="K50" s="727" t="str">
        <f>IF($B50=0,"",SUMIFS(INPUT_DATA!L:L,INPUT_DATA!$A:$A,$B50,INPUT_DATA!$C:$C,"S"))</f>
        <v/>
      </c>
      <c r="L50" s="727" t="str">
        <f>IF($B50=0,"",SUMIFS(INPUT_DATA!M:M,INPUT_DATA!$A:$A,$B50,INPUT_DATA!$C:$C,"S"))</f>
        <v/>
      </c>
      <c r="M50" s="727" t="str">
        <f>IF($B50=0,"",SUMIFS(INPUT_DATA!N:N,INPUT_DATA!$A:$A,$B50,INPUT_DATA!$C:$C,"S"))</f>
        <v/>
      </c>
      <c r="N50" s="727" t="str">
        <f>IF($B50=0,"",SUMIFS(INPUT_DATA!O:O,INPUT_DATA!$A:$A,$B50,INPUT_DATA!$C:$C,"S"))</f>
        <v/>
      </c>
      <c r="O50" s="728" t="str">
        <f t="shared" si="38"/>
        <v/>
      </c>
      <c r="P50" s="729" t="str">
        <f>IF($B50=0,"",SUMIFS(INPUT_DATA!P:P,INPUT_DATA!$A:$A,$B50,INPUT_DATA!$C:$C,"S"))</f>
        <v/>
      </c>
      <c r="Q50" s="729" t="str">
        <f t="shared" si="39"/>
        <v/>
      </c>
      <c r="R50" s="735" t="str">
        <f>IF($B50=0,"",SUMIFS(INPUT_DATA!Q:Q,INPUT_DATA!$A:$A,$B50,INPUT_DATA!$C:$C,"S"))</f>
        <v/>
      </c>
      <c r="S50" s="735" t="str">
        <f>IF($B50=0,"",SUMIFS(INPUT_DATA!R:R,INPUT_DATA!$A:$A,$B50,INPUT_DATA!$C:$C,"S"))</f>
        <v/>
      </c>
      <c r="T50" s="735" t="str">
        <f>IF($B50=0,"",SUMIFS(INPUT_DATA!S:S,INPUT_DATA!$A:$A,$B50,INPUT_DATA!$C:$C,"S"))</f>
        <v/>
      </c>
      <c r="U50" s="312" t="str">
        <f>IF($B50=0,"",SUMIFS(INPUT_DATA!T:T,INPUT_DATA!$A:$A,$B50,INPUT_DATA!$C:$C,"S"))</f>
        <v/>
      </c>
      <c r="V50" s="312" t="str">
        <f>IF($B50=0,"",SUMIFS(INPUT_DATA!U:U,INPUT_DATA!$A:$A,$B50,INPUT_DATA!$C:$C,"S"))</f>
        <v/>
      </c>
      <c r="W50" s="312" t="str">
        <f>IF($B50=0,"",SUMIFS(INPUT_DATA!V:V,INPUT_DATA!$A:$A,$B50,INPUT_DATA!$C:$C,"S"))</f>
        <v/>
      </c>
      <c r="X50" s="312" t="str">
        <f>IF($B50=0,"",SUMIFS(INPUT_DATA!W:W,INPUT_DATA!$A:$A,$B50,INPUT_DATA!$C:$C,"S"))</f>
        <v/>
      </c>
      <c r="Y50" s="312" t="str">
        <f>IF($B50=0,"",SUMIFS(INPUT_DATA!X:X,INPUT_DATA!$A:$A,$B50,INPUT_DATA!$C:$C,"S"))</f>
        <v/>
      </c>
      <c r="Z50" s="312" t="str">
        <f>IF($B50=0,"",SUMIFS(INPUT_DATA!Y:Y,INPUT_DATA!$A:$A,$B50,INPUT_DATA!$C:$C,"S"))</f>
        <v/>
      </c>
      <c r="AA50" s="312" t="str">
        <f>IF($B50=0,"",SUMIFS(INPUT_DATA!Z:Z,INPUT_DATA!$A:$A,$B50,INPUT_DATA!$C:$C,"S"))</f>
        <v/>
      </c>
      <c r="AB50" s="312" t="str">
        <f>IF($B50=0,"",SUMIFS(INPUT_DATA!AA:AA,INPUT_DATA!$A:$A,$B50,INPUT_DATA!$C:$C,"S"))</f>
        <v/>
      </c>
      <c r="AC50" s="312" t="str">
        <f>IF($B50=0,"",SUMIFS(INPUT_DATA!AB:AB,INPUT_DATA!$A:$A,$B50,INPUT_DATA!$C:$C,"S"))</f>
        <v/>
      </c>
      <c r="AD50" s="312" t="str">
        <f>IF($B50=0,"",SUMIFS(INPUT_DATA!AC:AC,INPUT_DATA!$A:$A,$B50,INPUT_DATA!$C:$C,"S"))</f>
        <v/>
      </c>
      <c r="AE50" s="312" t="str">
        <f>IF($B50=0,"",SUMIFS(INPUT_DATA!AD:AD,INPUT_DATA!$A:$A,$B50,INPUT_DATA!$C:$C,"S"))</f>
        <v/>
      </c>
      <c r="AF50" s="312" t="str">
        <f>IF($B50=0,"",SUMIFS(INPUT_DATA!AE:AE,INPUT_DATA!$A:$A,$B50,INPUT_DATA!$C:$C,"S"))</f>
        <v/>
      </c>
      <c r="AG50" s="312" t="str">
        <f>IF($B50=0,"",SUMIFS(INPUT_DATA!AF:AF,INPUT_DATA!$A:$A,$B50,INPUT_DATA!$C:$C,"S"))</f>
        <v/>
      </c>
      <c r="AH50" s="312" t="str">
        <f>IF($B50=0,"",SUMIFS(INPUT_DATA!AG:AG,INPUT_DATA!$A:$A,$B50,INPUT_DATA!$C:$C,"S"))</f>
        <v/>
      </c>
      <c r="AI50" s="312" t="str">
        <f>IF($B50=0,"",SUMIFS(INPUT_DATA!AH:AH,INPUT_DATA!$A:$A,$B50,INPUT_DATA!$C:$C,"S"))</f>
        <v/>
      </c>
      <c r="AJ50" s="312" t="str">
        <f>IF($B50=0,"",SUMIFS(INPUT_DATA!AI:AI,INPUT_DATA!$A:$A,$B50,INPUT_DATA!$C:$C,"S"))</f>
        <v/>
      </c>
      <c r="AK50" s="312" t="str">
        <f>IF($B50=0,"",SUMIFS(INPUT_DATA!AJ:AJ,INPUT_DATA!$A:$A,$B50,INPUT_DATA!$C:$C,"S"))</f>
        <v/>
      </c>
      <c r="AL50" s="312" t="str">
        <f>IF($B50=0,"",SUMIFS(INPUT_DATA!AK:AK,INPUT_DATA!$A:$A,$B50,INPUT_DATA!$C:$C,"S"))</f>
        <v/>
      </c>
      <c r="AM50" s="312" t="str">
        <f>IF($B50=0,"",SUMIFS(INPUT_DATA!AL:AL,INPUT_DATA!$A:$A,$B50,INPUT_DATA!$C:$C,"S"))</f>
        <v/>
      </c>
      <c r="AN50" s="312" t="str">
        <f>IF($B50=0,"",SUMIFS(INPUT_DATA!AM:AM,INPUT_DATA!$A:$A,$B50,INPUT_DATA!$C:$C,"S"))</f>
        <v/>
      </c>
      <c r="AO50" s="312" t="str">
        <f>IF($B50=0,"",SUMIFS(INPUT_DATA!AN:AN,INPUT_DATA!$A:$A,$B50,INPUT_DATA!$C:$C,"S"))</f>
        <v/>
      </c>
      <c r="AP50" s="312" t="str">
        <f>IF($B50=0,"",SUMIFS(INPUT_DATA!AO:AO,INPUT_DATA!$A:$A,$B50,INPUT_DATA!$C:$C,"S"))</f>
        <v/>
      </c>
      <c r="AQ50" s="312" t="str">
        <f>IF($B50=0,"",SUMIFS(INPUT_DATA!AP:AP,INPUT_DATA!$A:$A,$B50,INPUT_DATA!$C:$C,"S"))</f>
        <v/>
      </c>
      <c r="AR50" s="312" t="str">
        <f>IF($B50=0,"",SUMIFS(INPUT_DATA!AQ:AQ,INPUT_DATA!$A:$A,$B50,INPUT_DATA!$C:$C,"S"))</f>
        <v/>
      </c>
      <c r="AS50" s="736" t="str">
        <f t="shared" si="29"/>
        <v/>
      </c>
      <c r="AT50" s="737" t="str">
        <f t="shared" si="30"/>
        <v/>
      </c>
      <c r="AU50" s="738" t="str">
        <f t="shared" si="31"/>
        <v/>
      </c>
      <c r="AV50" s="736" t="str">
        <f>IF($B50=0,"",SUMIFS(INPUT_DATA!AR:AR,INPUT_DATA!$A:$A,$B50,INPUT_DATA!$C:$C,"S"))</f>
        <v/>
      </c>
      <c r="AW50" s="737" t="str">
        <f>IF($B50=0,"",SUMIFS(INPUT_DATA!AS:AS,INPUT_DATA!$A:$A,$B50,INPUT_DATA!$C:$C,"S"))</f>
        <v/>
      </c>
      <c r="AX50" s="738" t="str">
        <f>IF($B50=0,"",SUMIFS(INPUT_DATA!AT:AT,INPUT_DATA!$A:$A,$B50,INPUT_DATA!$C:$C,"S"))</f>
        <v/>
      </c>
      <c r="AY50" s="736" t="str">
        <f t="shared" si="15"/>
        <v/>
      </c>
      <c r="AZ50" s="737" t="str">
        <f t="shared" si="16"/>
        <v/>
      </c>
      <c r="BA50" s="738" t="str">
        <f t="shared" si="17"/>
        <v/>
      </c>
      <c r="BB50" s="150"/>
      <c r="BC50" s="725" t="str">
        <f>IF($B50=0,"",SUMIFS(INPUT_DATA!D:D,INPUT_DATA!$A:$A,$B50,INPUT_DATA!$C:$C,"D"))</f>
        <v/>
      </c>
      <c r="BD50" s="311" t="str">
        <f>IF($B50=0,"",SUMIFS(INPUT_DATA!F:F,INPUT_DATA!$A:$A,$B50,INPUT_DATA!$C:$C,"D"))</f>
        <v/>
      </c>
      <c r="BE50" s="311" t="str">
        <f>IF($B50=0,"",SUMIFS(INPUT_DATA!G:G,INPUT_DATA!$A:$A,$B50,INPUT_DATA!$C:$C,"D"))</f>
        <v/>
      </c>
      <c r="BF50" s="311" t="str">
        <f>IF($B50=0,"",SUMIFS(INPUT_DATA!H:H,INPUT_DATA!$A:$A,$B50,INPUT_DATA!$C:$C,"D"))</f>
        <v/>
      </c>
      <c r="BG50" s="311" t="str">
        <f>IF($B50=0,"",SUMIFS(INPUT_DATA!I:I,INPUT_DATA!$A:$A,$B50,INPUT_DATA!$C:$C,"D"))</f>
        <v/>
      </c>
      <c r="BH50" s="311" t="str">
        <f>IF($B50=0,"",SUMIFS(INPUT_DATA!J:J,INPUT_DATA!$A:$A,$B50,INPUT_DATA!$C:$C,"D"))</f>
        <v/>
      </c>
      <c r="BI50" s="311" t="str">
        <f>IF($B50=0,"",SUMIFS(INPUT_DATA!K:K,INPUT_DATA!$A:$A,$B50,INPUT_DATA!$C:$C,"D"))</f>
        <v/>
      </c>
      <c r="BJ50" s="311" t="str">
        <f>IF($B50=0,"",SUMIFS(INPUT_DATA!L:L,INPUT_DATA!$A:$A,$B50,INPUT_DATA!$C:$C,"D"))</f>
        <v/>
      </c>
      <c r="BK50" s="311" t="str">
        <f>IF($B50=0,"",SUMIFS(INPUT_DATA!M:M,INPUT_DATA!$A:$A,$B50,INPUT_DATA!$C:$C,"D"))</f>
        <v/>
      </c>
      <c r="BL50" s="311" t="str">
        <f>IF($B50=0,"",SUMIFS(INPUT_DATA!N:N,INPUT_DATA!$A:$A,$B50,INPUT_DATA!$C:$C,"D"))</f>
        <v/>
      </c>
      <c r="BM50" s="311" t="str">
        <f>IF($B50=0,"",SUMIFS(INPUT_DATA!O:O,INPUT_DATA!$A:$A,$B50,INPUT_DATA!$C:$C,"D"))</f>
        <v/>
      </c>
      <c r="BN50" s="741" t="str">
        <f t="shared" si="18"/>
        <v/>
      </c>
      <c r="BO50" s="741" t="str">
        <f>IF($B50=0,"",SUMIFS(INPUT_DATA!O:O,INPUT_DATA!$A:$A,$B50,INPUT_DATA!$C:$C,"D"))</f>
        <v/>
      </c>
      <c r="BP50" s="741" t="str">
        <f t="shared" si="19"/>
        <v/>
      </c>
      <c r="BQ50" s="725" t="str">
        <f>IF($B50=0,"",SUMIFS(INPUT_DATA!Q:Q,INPUT_DATA!$A:$A,$B50,INPUT_DATA!$C:$C,"D"))</f>
        <v/>
      </c>
      <c r="BR50" s="747" t="str">
        <f>IF($B50=0,"",SUMIFS(INPUT_DATA!R:R,INPUT_DATA!$A:$A,$B50,INPUT_DATA!$C:$C,"D"))</f>
        <v/>
      </c>
      <c r="BS50" s="747" t="str">
        <f>IF($B50=0,"",SUMIFS(INPUT_DATA!S:S,INPUT_DATA!$A:$A,$B50,INPUT_DATA!$C:$C,"D"))</f>
        <v/>
      </c>
      <c r="BT50" s="311" t="str">
        <f>IF($B50=0,"",SUMIFS(INPUT_DATA!T:T,INPUT_DATA!$A:$A,$B50,INPUT_DATA!$C:$C,"D"))</f>
        <v/>
      </c>
      <c r="BU50" s="311" t="str">
        <f>IF($B50=0,"",SUMIFS(INPUT_DATA!U:U,INPUT_DATA!$A:$A,$B50,INPUT_DATA!$C:$C,"D"))</f>
        <v/>
      </c>
      <c r="BV50" s="311" t="str">
        <f>IF($B50=0,"",SUMIFS(INPUT_DATA!V:V,INPUT_DATA!$A:$A,$B50,INPUT_DATA!$C:$C,"D"))</f>
        <v/>
      </c>
      <c r="BW50" s="311" t="str">
        <f>IF($B50=0,"",SUMIFS(INPUT_DATA!W:W,INPUT_DATA!$A:$A,$B50,INPUT_DATA!$C:$C,"D"))</f>
        <v/>
      </c>
      <c r="BX50" s="311" t="str">
        <f>IF($B50=0,"",SUMIFS(INPUT_DATA!X:X,INPUT_DATA!$A:$A,$B50,INPUT_DATA!$C:$C,"D"))</f>
        <v/>
      </c>
      <c r="BY50" s="311" t="str">
        <f>IF($B50=0,"",SUMIFS(INPUT_DATA!Y:Y,INPUT_DATA!$A:$A,$B50,INPUT_DATA!$C:$C,"D"))</f>
        <v/>
      </c>
      <c r="BZ50" s="352" t="str">
        <f>IF($B50=0,"",SUMIFS(INPUT_DATA!Z:Z,INPUT_DATA!$A:$A,$B50,INPUT_DATA!$C:$C,"D"))</f>
        <v/>
      </c>
      <c r="CA50" s="352" t="str">
        <f>IF($B50=0,"",SUMIFS(INPUT_DATA!AA:AA,INPUT_DATA!$A:$A,$B50,INPUT_DATA!$C:$C,"D"))</f>
        <v/>
      </c>
      <c r="CB50" s="352" t="str">
        <f>IF($B50=0,"",SUMIFS(INPUT_DATA!AB:AB,INPUT_DATA!$A:$A,$B50,INPUT_DATA!$C:$C,"D"))</f>
        <v/>
      </c>
      <c r="CC50" s="311" t="str">
        <f>IF($B50=0,"",SUMIFS(INPUT_DATA!AC:AC,INPUT_DATA!$A:$A,$B50,INPUT_DATA!$C:$C,"D"))</f>
        <v/>
      </c>
      <c r="CD50" s="311" t="str">
        <f>IF($B50=0,"",SUMIFS(INPUT_DATA!AD:AD,INPUT_DATA!$A:$A,$B50,INPUT_DATA!$C:$C,"D"))</f>
        <v/>
      </c>
      <c r="CE50" s="311" t="str">
        <f>IF($B50=0,"",SUMIFS(INPUT_DATA!AE:AE,INPUT_DATA!$A:$A,$B50,INPUT_DATA!$C:$C,"D"))</f>
        <v/>
      </c>
      <c r="CF50" s="352" t="str">
        <f>IF($B50=0,"",SUMIFS(INPUT_DATA!AF:AF,INPUT_DATA!$A:$A,$B50,INPUT_DATA!$C:$C,"D"))</f>
        <v/>
      </c>
      <c r="CG50" s="352" t="str">
        <f>IF($B50=0,"",SUMIFS(INPUT_DATA!AG:AG,INPUT_DATA!$A:$A,$B50,INPUT_DATA!$C:$C,"D"))</f>
        <v/>
      </c>
      <c r="CH50" s="352" t="str">
        <f>IF($B50=0,"",SUMIFS(INPUT_DATA!AH:AH,INPUT_DATA!$A:$A,$B50,INPUT_DATA!$C:$C,"D"))</f>
        <v/>
      </c>
      <c r="CI50" s="153" t="str">
        <f>IF($B50=0,"",SUMIFS(INPUT_DATA!AI:AI,INPUT_DATA!$A:$A,$B50,INPUT_DATA!$C:$C,"D"))</f>
        <v/>
      </c>
      <c r="CJ50" s="153" t="str">
        <f>IF($B50=0,"",SUMIFS(INPUT_DATA!AJ:AJ,INPUT_DATA!$A:$A,$B50,INPUT_DATA!$C:$C,"D"))</f>
        <v/>
      </c>
      <c r="CK50" s="153" t="str">
        <f>IF($B50=0,"",SUMIFS(INPUT_DATA!AK:AK,INPUT_DATA!$A:$A,$B50,INPUT_DATA!$C:$C,"D"))</f>
        <v/>
      </c>
      <c r="CL50" s="153" t="str">
        <f>IF($B50=0,"",SUMIFS(INPUT_DATA!AL:AL,INPUT_DATA!$A:$A,$B50,INPUT_DATA!$C:$C,"D"))</f>
        <v/>
      </c>
      <c r="CM50" s="153" t="str">
        <f>IF($B50=0,"",SUMIFS(INPUT_DATA!AM:AM,INPUT_DATA!$A:$A,$B50,INPUT_DATA!$C:$C,"D"))</f>
        <v/>
      </c>
      <c r="CN50" s="153" t="str">
        <f>IF($B50=0,"",SUMIFS(INPUT_DATA!AN:AN,INPUT_DATA!$A:$A,$B50,INPUT_DATA!$C:$C,"D"))</f>
        <v/>
      </c>
      <c r="CO50" s="153" t="str">
        <f>IF($B50=0,"",SUMIFS(INPUT_DATA!AO:AO,INPUT_DATA!$A:$A,$B50,INPUT_DATA!$C:$C,"D"))</f>
        <v/>
      </c>
      <c r="CP50" s="153" t="str">
        <f>IF($B50=0,"",SUMIFS(INPUT_DATA!AP:AP,INPUT_DATA!$A:$A,$B50,INPUT_DATA!$C:$C,"D"))</f>
        <v/>
      </c>
      <c r="CQ50" s="153" t="str">
        <f>IF($B50=0,"",SUMIFS(INPUT_DATA!AQ:AQ,INPUT_DATA!$A:$A,$B50,INPUT_DATA!$C:$C,"D"))</f>
        <v/>
      </c>
      <c r="CR50" s="737" t="str">
        <f t="shared" si="32"/>
        <v/>
      </c>
      <c r="CS50" s="737" t="str">
        <f t="shared" si="33"/>
        <v/>
      </c>
      <c r="CT50" s="737" t="str">
        <f t="shared" si="34"/>
        <v/>
      </c>
      <c r="CU50" s="726" t="str">
        <f>IF($B50=0,"",SUMIFS(INPUT_DATA!AR:AR,INPUT_DATA!$A:$A,$B50,INPUT_DATA!$C:$C,"D"))</f>
        <v/>
      </c>
      <c r="CV50" s="726" t="str">
        <f>IF($B50=0,"",SUMIFS(INPUT_DATA!AS:AS,INPUT_DATA!$A:$A,$B50,INPUT_DATA!$C:$C,"D"))</f>
        <v/>
      </c>
      <c r="CW50" s="726" t="str">
        <f>IF($B50=0,"",SUMIFS(INPUT_DATA!AT:AT,INPUT_DATA!$A:$A,$B50,INPUT_DATA!$C:$C,"D"))</f>
        <v/>
      </c>
      <c r="CX50" s="726" t="str">
        <f t="shared" si="35"/>
        <v/>
      </c>
      <c r="CY50" s="737" t="str">
        <f t="shared" si="36"/>
        <v/>
      </c>
      <c r="CZ50" s="748" t="str">
        <f t="shared" si="37"/>
        <v/>
      </c>
      <c r="DA50" s="150"/>
    </row>
    <row r="51" spans="1:105" x14ac:dyDescent="0.2">
      <c r="A51" s="172">
        <f t="shared" si="40"/>
        <v>-4</v>
      </c>
      <c r="B51" s="720">
        <f>INPUT_DATA!BQ38</f>
        <v>0</v>
      </c>
      <c r="C51" s="725" t="str">
        <f>IF($B51=0,"",SUMIFS(INPUT_DATA!D:D,INPUT_DATA!$A:$A,$B51,INPUT_DATA!$C:$C,"S"))</f>
        <v/>
      </c>
      <c r="D51" s="726" t="str">
        <f>IF($B51=0,"",SUMIFS(INPUT_DATA!E:E,INPUT_DATA!$A:$A,$B51,INPUT_DATA!$C:$C,"S"))</f>
        <v/>
      </c>
      <c r="E51" s="727" t="str">
        <f>IF($B51=0,"",SUMIFS(INPUT_DATA!F:F,INPUT_DATA!$A:$A,$B51,INPUT_DATA!$C:$C,"S"))</f>
        <v/>
      </c>
      <c r="F51" s="727" t="str">
        <f>IF($B51=0,"",SUMIFS(INPUT_DATA!G:G,INPUT_DATA!$A:$A,$B51,INPUT_DATA!$C:$C,"S"))</f>
        <v/>
      </c>
      <c r="G51" s="727" t="str">
        <f>IF($B51=0,"",SUMIFS(INPUT_DATA!H:H,INPUT_DATA!$A:$A,$B51,INPUT_DATA!$C:$C,"S"))</f>
        <v/>
      </c>
      <c r="H51" s="727" t="str">
        <f>IF($B51=0,"",SUMIFS(INPUT_DATA!I:I,INPUT_DATA!$A:$A,$B51,INPUT_DATA!$C:$C,"S"))</f>
        <v/>
      </c>
      <c r="I51" s="727" t="str">
        <f>IF($B51=0,"",SUMIFS(INPUT_DATA!J:J,INPUT_DATA!$A:$A,$B51,INPUT_DATA!$C:$C,"S"))</f>
        <v/>
      </c>
      <c r="J51" s="727" t="str">
        <f>IF($B51=0,"",SUMIFS(INPUT_DATA!K:K,INPUT_DATA!$A:$A,$B51,INPUT_DATA!$C:$C,"S"))</f>
        <v/>
      </c>
      <c r="K51" s="727" t="str">
        <f>IF($B51=0,"",SUMIFS(INPUT_DATA!L:L,INPUT_DATA!$A:$A,$B51,INPUT_DATA!$C:$C,"S"))</f>
        <v/>
      </c>
      <c r="L51" s="727" t="str">
        <f>IF($B51=0,"",SUMIFS(INPUT_DATA!M:M,INPUT_DATA!$A:$A,$B51,INPUT_DATA!$C:$C,"S"))</f>
        <v/>
      </c>
      <c r="M51" s="727" t="str">
        <f>IF($B51=0,"",SUMIFS(INPUT_DATA!N:N,INPUT_DATA!$A:$A,$B51,INPUT_DATA!$C:$C,"S"))</f>
        <v/>
      </c>
      <c r="N51" s="727" t="str">
        <f>IF($B51=0,"",SUMIFS(INPUT_DATA!O:O,INPUT_DATA!$A:$A,$B51,INPUT_DATA!$C:$C,"S"))</f>
        <v/>
      </c>
      <c r="O51" s="728" t="str">
        <f t="shared" si="38"/>
        <v/>
      </c>
      <c r="P51" s="729" t="str">
        <f>IF($B51=0,"",SUMIFS(INPUT_DATA!P:P,INPUT_DATA!$A:$A,$B51,INPUT_DATA!$C:$C,"S"))</f>
        <v/>
      </c>
      <c r="Q51" s="729" t="str">
        <f t="shared" si="39"/>
        <v/>
      </c>
      <c r="R51" s="735" t="str">
        <f>IF($B51=0,"",SUMIFS(INPUT_DATA!Q:Q,INPUT_DATA!$A:$A,$B51,INPUT_DATA!$C:$C,"S"))</f>
        <v/>
      </c>
      <c r="S51" s="735" t="str">
        <f>IF($B51=0,"",SUMIFS(INPUT_DATA!R:R,INPUT_DATA!$A:$A,$B51,INPUT_DATA!$C:$C,"S"))</f>
        <v/>
      </c>
      <c r="T51" s="735" t="str">
        <f>IF($B51=0,"",SUMIFS(INPUT_DATA!S:S,INPUT_DATA!$A:$A,$B51,INPUT_DATA!$C:$C,"S"))</f>
        <v/>
      </c>
      <c r="U51" s="312" t="str">
        <f>IF($B51=0,"",SUMIFS(INPUT_DATA!T:T,INPUT_DATA!$A:$A,$B51,INPUT_DATA!$C:$C,"S"))</f>
        <v/>
      </c>
      <c r="V51" s="312" t="str">
        <f>IF($B51=0,"",SUMIFS(INPUT_DATA!U:U,INPUT_DATA!$A:$A,$B51,INPUT_DATA!$C:$C,"S"))</f>
        <v/>
      </c>
      <c r="W51" s="312" t="str">
        <f>IF($B51=0,"",SUMIFS(INPUT_DATA!V:V,INPUT_DATA!$A:$A,$B51,INPUT_DATA!$C:$C,"S"))</f>
        <v/>
      </c>
      <c r="X51" s="312" t="str">
        <f>IF($B51=0,"",SUMIFS(INPUT_DATA!W:W,INPUT_DATA!$A:$A,$B51,INPUT_DATA!$C:$C,"S"))</f>
        <v/>
      </c>
      <c r="Y51" s="312" t="str">
        <f>IF($B51=0,"",SUMIFS(INPUT_DATA!X:X,INPUT_DATA!$A:$A,$B51,INPUT_DATA!$C:$C,"S"))</f>
        <v/>
      </c>
      <c r="Z51" s="312" t="str">
        <f>IF($B51=0,"",SUMIFS(INPUT_DATA!Y:Y,INPUT_DATA!$A:$A,$B51,INPUT_DATA!$C:$C,"S"))</f>
        <v/>
      </c>
      <c r="AA51" s="312" t="str">
        <f>IF($B51=0,"",SUMIFS(INPUT_DATA!Z:Z,INPUT_DATA!$A:$A,$B51,INPUT_DATA!$C:$C,"S"))</f>
        <v/>
      </c>
      <c r="AB51" s="312" t="str">
        <f>IF($B51=0,"",SUMIFS(INPUT_DATA!AA:AA,INPUT_DATA!$A:$A,$B51,INPUT_DATA!$C:$C,"S"))</f>
        <v/>
      </c>
      <c r="AC51" s="312" t="str">
        <f>IF($B51=0,"",SUMIFS(INPUT_DATA!AB:AB,INPUT_DATA!$A:$A,$B51,INPUT_DATA!$C:$C,"S"))</f>
        <v/>
      </c>
      <c r="AD51" s="312" t="str">
        <f>IF($B51=0,"",SUMIFS(INPUT_DATA!AC:AC,INPUT_DATA!$A:$A,$B51,INPUT_DATA!$C:$C,"S"))</f>
        <v/>
      </c>
      <c r="AE51" s="312" t="str">
        <f>IF($B51=0,"",SUMIFS(INPUT_DATA!AD:AD,INPUT_DATA!$A:$A,$B51,INPUT_DATA!$C:$C,"S"))</f>
        <v/>
      </c>
      <c r="AF51" s="312" t="str">
        <f>IF($B51=0,"",SUMIFS(INPUT_DATA!AE:AE,INPUT_DATA!$A:$A,$B51,INPUT_DATA!$C:$C,"S"))</f>
        <v/>
      </c>
      <c r="AG51" s="312" t="str">
        <f>IF($B51=0,"",SUMIFS(INPUT_DATA!AF:AF,INPUT_DATA!$A:$A,$B51,INPUT_DATA!$C:$C,"S"))</f>
        <v/>
      </c>
      <c r="AH51" s="312" t="str">
        <f>IF($B51=0,"",SUMIFS(INPUT_DATA!AG:AG,INPUT_DATA!$A:$A,$B51,INPUT_DATA!$C:$C,"S"))</f>
        <v/>
      </c>
      <c r="AI51" s="312" t="str">
        <f>IF($B51=0,"",SUMIFS(INPUT_DATA!AH:AH,INPUT_DATA!$A:$A,$B51,INPUT_DATA!$C:$C,"S"))</f>
        <v/>
      </c>
      <c r="AJ51" s="312" t="str">
        <f>IF($B51=0,"",SUMIFS(INPUT_DATA!AI:AI,INPUT_DATA!$A:$A,$B51,INPUT_DATA!$C:$C,"S"))</f>
        <v/>
      </c>
      <c r="AK51" s="312" t="str">
        <f>IF($B51=0,"",SUMIFS(INPUT_DATA!AJ:AJ,INPUT_DATA!$A:$A,$B51,INPUT_DATA!$C:$C,"S"))</f>
        <v/>
      </c>
      <c r="AL51" s="312" t="str">
        <f>IF($B51=0,"",SUMIFS(INPUT_DATA!AK:AK,INPUT_DATA!$A:$A,$B51,INPUT_DATA!$C:$C,"S"))</f>
        <v/>
      </c>
      <c r="AM51" s="312" t="str">
        <f>IF($B51=0,"",SUMIFS(INPUT_DATA!AL:AL,INPUT_DATA!$A:$A,$B51,INPUT_DATA!$C:$C,"S"))</f>
        <v/>
      </c>
      <c r="AN51" s="312" t="str">
        <f>IF($B51=0,"",SUMIFS(INPUT_DATA!AM:AM,INPUT_DATA!$A:$A,$B51,INPUT_DATA!$C:$C,"S"))</f>
        <v/>
      </c>
      <c r="AO51" s="312" t="str">
        <f>IF($B51=0,"",SUMIFS(INPUT_DATA!AN:AN,INPUT_DATA!$A:$A,$B51,INPUT_DATA!$C:$C,"S"))</f>
        <v/>
      </c>
      <c r="AP51" s="312" t="str">
        <f>IF($B51=0,"",SUMIFS(INPUT_DATA!AO:AO,INPUT_DATA!$A:$A,$B51,INPUT_DATA!$C:$C,"S"))</f>
        <v/>
      </c>
      <c r="AQ51" s="312" t="str">
        <f>IF($B51=0,"",SUMIFS(INPUT_DATA!AP:AP,INPUT_DATA!$A:$A,$B51,INPUT_DATA!$C:$C,"S"))</f>
        <v/>
      </c>
      <c r="AR51" s="312" t="str">
        <f>IF($B51=0,"",SUMIFS(INPUT_DATA!AQ:AQ,INPUT_DATA!$A:$A,$B51,INPUT_DATA!$C:$C,"S"))</f>
        <v/>
      </c>
      <c r="AS51" s="736" t="str">
        <f t="shared" si="29"/>
        <v/>
      </c>
      <c r="AT51" s="737" t="str">
        <f t="shared" si="30"/>
        <v/>
      </c>
      <c r="AU51" s="738" t="str">
        <f t="shared" si="31"/>
        <v/>
      </c>
      <c r="AV51" s="736" t="str">
        <f>IF($B51=0,"",SUMIFS(INPUT_DATA!AR:AR,INPUT_DATA!$A:$A,$B51,INPUT_DATA!$C:$C,"S"))</f>
        <v/>
      </c>
      <c r="AW51" s="737" t="str">
        <f>IF($B51=0,"",SUMIFS(INPUT_DATA!AS:AS,INPUT_DATA!$A:$A,$B51,INPUT_DATA!$C:$C,"S"))</f>
        <v/>
      </c>
      <c r="AX51" s="738" t="str">
        <f>IF($B51=0,"",SUMIFS(INPUT_DATA!AT:AT,INPUT_DATA!$A:$A,$B51,INPUT_DATA!$C:$C,"S"))</f>
        <v/>
      </c>
      <c r="AY51" s="736" t="str">
        <f t="shared" si="15"/>
        <v/>
      </c>
      <c r="AZ51" s="737" t="str">
        <f t="shared" si="16"/>
        <v/>
      </c>
      <c r="BA51" s="738" t="str">
        <f t="shared" si="17"/>
        <v/>
      </c>
      <c r="BB51" s="150"/>
      <c r="BC51" s="725" t="str">
        <f>IF($B51=0,"",SUMIFS(INPUT_DATA!D:D,INPUT_DATA!$A:$A,$B51,INPUT_DATA!$C:$C,"D"))</f>
        <v/>
      </c>
      <c r="BD51" s="311" t="str">
        <f>IF($B51=0,"",SUMIFS(INPUT_DATA!F:F,INPUT_DATA!$A:$A,$B51,INPUT_DATA!$C:$C,"D"))</f>
        <v/>
      </c>
      <c r="BE51" s="311" t="str">
        <f>IF($B51=0,"",SUMIFS(INPUT_DATA!G:G,INPUT_DATA!$A:$A,$B51,INPUT_DATA!$C:$C,"D"))</f>
        <v/>
      </c>
      <c r="BF51" s="311" t="str">
        <f>IF($B51=0,"",SUMIFS(INPUT_DATA!H:H,INPUT_DATA!$A:$A,$B51,INPUT_DATA!$C:$C,"D"))</f>
        <v/>
      </c>
      <c r="BG51" s="311" t="str">
        <f>IF($B51=0,"",SUMIFS(INPUT_DATA!I:I,INPUT_DATA!$A:$A,$B51,INPUT_DATA!$C:$C,"D"))</f>
        <v/>
      </c>
      <c r="BH51" s="311" t="str">
        <f>IF($B51=0,"",SUMIFS(INPUT_DATA!J:J,INPUT_DATA!$A:$A,$B51,INPUT_DATA!$C:$C,"D"))</f>
        <v/>
      </c>
      <c r="BI51" s="311" t="str">
        <f>IF($B51=0,"",SUMIFS(INPUT_DATA!K:K,INPUT_DATA!$A:$A,$B51,INPUT_DATA!$C:$C,"D"))</f>
        <v/>
      </c>
      <c r="BJ51" s="311" t="str">
        <f>IF($B51=0,"",SUMIFS(INPUT_DATA!L:L,INPUT_DATA!$A:$A,$B51,INPUT_DATA!$C:$C,"D"))</f>
        <v/>
      </c>
      <c r="BK51" s="311" t="str">
        <f>IF($B51=0,"",SUMIFS(INPUT_DATA!M:M,INPUT_DATA!$A:$A,$B51,INPUT_DATA!$C:$C,"D"))</f>
        <v/>
      </c>
      <c r="BL51" s="311" t="str">
        <f>IF($B51=0,"",SUMIFS(INPUT_DATA!N:N,INPUT_DATA!$A:$A,$B51,INPUT_DATA!$C:$C,"D"))</f>
        <v/>
      </c>
      <c r="BM51" s="311" t="str">
        <f>IF($B51=0,"",SUMIFS(INPUT_DATA!O:O,INPUT_DATA!$A:$A,$B51,INPUT_DATA!$C:$C,"D"))</f>
        <v/>
      </c>
      <c r="BN51" s="741" t="str">
        <f t="shared" si="18"/>
        <v/>
      </c>
      <c r="BO51" s="741" t="str">
        <f>IF($B51=0,"",SUMIFS(INPUT_DATA!O:O,INPUT_DATA!$A:$A,$B51,INPUT_DATA!$C:$C,"D"))</f>
        <v/>
      </c>
      <c r="BP51" s="741" t="str">
        <f t="shared" si="19"/>
        <v/>
      </c>
      <c r="BQ51" s="725" t="str">
        <f>IF($B51=0,"",SUMIFS(INPUT_DATA!Q:Q,INPUT_DATA!$A:$A,$B51,INPUT_DATA!$C:$C,"D"))</f>
        <v/>
      </c>
      <c r="BR51" s="747" t="str">
        <f>IF($B51=0,"",SUMIFS(INPUT_DATA!R:R,INPUT_DATA!$A:$A,$B51,INPUT_DATA!$C:$C,"D"))</f>
        <v/>
      </c>
      <c r="BS51" s="747" t="str">
        <f>IF($B51=0,"",SUMIFS(INPUT_DATA!S:S,INPUT_DATA!$A:$A,$B51,INPUT_DATA!$C:$C,"D"))</f>
        <v/>
      </c>
      <c r="BT51" s="311" t="str">
        <f>IF($B51=0,"",SUMIFS(INPUT_DATA!T:T,INPUT_DATA!$A:$A,$B51,INPUT_DATA!$C:$C,"D"))</f>
        <v/>
      </c>
      <c r="BU51" s="311" t="str">
        <f>IF($B51=0,"",SUMIFS(INPUT_DATA!U:U,INPUT_DATA!$A:$A,$B51,INPUT_DATA!$C:$C,"D"))</f>
        <v/>
      </c>
      <c r="BV51" s="311" t="str">
        <f>IF($B51=0,"",SUMIFS(INPUT_DATA!V:V,INPUT_DATA!$A:$A,$B51,INPUT_DATA!$C:$C,"D"))</f>
        <v/>
      </c>
      <c r="BW51" s="311" t="str">
        <f>IF($B51=0,"",SUMIFS(INPUT_DATA!W:W,INPUT_DATA!$A:$A,$B51,INPUT_DATA!$C:$C,"D"))</f>
        <v/>
      </c>
      <c r="BX51" s="311" t="str">
        <f>IF($B51=0,"",SUMIFS(INPUT_DATA!X:X,INPUT_DATA!$A:$A,$B51,INPUT_DATA!$C:$C,"D"))</f>
        <v/>
      </c>
      <c r="BY51" s="311" t="str">
        <f>IF($B51=0,"",SUMIFS(INPUT_DATA!Y:Y,INPUT_DATA!$A:$A,$B51,INPUT_DATA!$C:$C,"D"))</f>
        <v/>
      </c>
      <c r="BZ51" s="352" t="str">
        <f>IF($B51=0,"",SUMIFS(INPUT_DATA!Z:Z,INPUT_DATA!$A:$A,$B51,INPUT_DATA!$C:$C,"D"))</f>
        <v/>
      </c>
      <c r="CA51" s="352" t="str">
        <f>IF($B51=0,"",SUMIFS(INPUT_DATA!AA:AA,INPUT_DATA!$A:$A,$B51,INPUT_DATA!$C:$C,"D"))</f>
        <v/>
      </c>
      <c r="CB51" s="352" t="str">
        <f>IF($B51=0,"",SUMIFS(INPUT_DATA!AB:AB,INPUT_DATA!$A:$A,$B51,INPUT_DATA!$C:$C,"D"))</f>
        <v/>
      </c>
      <c r="CC51" s="311" t="str">
        <f>IF($B51=0,"",SUMIFS(INPUT_DATA!AC:AC,INPUT_DATA!$A:$A,$B51,INPUT_DATA!$C:$C,"D"))</f>
        <v/>
      </c>
      <c r="CD51" s="311" t="str">
        <f>IF($B51=0,"",SUMIFS(INPUT_DATA!AD:AD,INPUT_DATA!$A:$A,$B51,INPUT_DATA!$C:$C,"D"))</f>
        <v/>
      </c>
      <c r="CE51" s="311" t="str">
        <f>IF($B51=0,"",SUMIFS(INPUT_DATA!AE:AE,INPUT_DATA!$A:$A,$B51,INPUT_DATA!$C:$C,"D"))</f>
        <v/>
      </c>
      <c r="CF51" s="352" t="str">
        <f>IF($B51=0,"",SUMIFS(INPUT_DATA!AF:AF,INPUT_DATA!$A:$A,$B51,INPUT_DATA!$C:$C,"D"))</f>
        <v/>
      </c>
      <c r="CG51" s="352" t="str">
        <f>IF($B51=0,"",SUMIFS(INPUT_DATA!AG:AG,INPUT_DATA!$A:$A,$B51,INPUT_DATA!$C:$C,"D"))</f>
        <v/>
      </c>
      <c r="CH51" s="352" t="str">
        <f>IF($B51=0,"",SUMIFS(INPUT_DATA!AH:AH,INPUT_DATA!$A:$A,$B51,INPUT_DATA!$C:$C,"D"))</f>
        <v/>
      </c>
      <c r="CI51" s="153" t="str">
        <f>IF($B51=0,"",SUMIFS(INPUT_DATA!AI:AI,INPUT_DATA!$A:$A,$B51,INPUT_DATA!$C:$C,"D"))</f>
        <v/>
      </c>
      <c r="CJ51" s="153" t="str">
        <f>IF($B51=0,"",SUMIFS(INPUT_DATA!AJ:AJ,INPUT_DATA!$A:$A,$B51,INPUT_DATA!$C:$C,"D"))</f>
        <v/>
      </c>
      <c r="CK51" s="153" t="str">
        <f>IF($B51=0,"",SUMIFS(INPUT_DATA!AK:AK,INPUT_DATA!$A:$A,$B51,INPUT_DATA!$C:$C,"D"))</f>
        <v/>
      </c>
      <c r="CL51" s="153" t="str">
        <f>IF($B51=0,"",SUMIFS(INPUT_DATA!AL:AL,INPUT_DATA!$A:$A,$B51,INPUT_DATA!$C:$C,"D"))</f>
        <v/>
      </c>
      <c r="CM51" s="153" t="str">
        <f>IF($B51=0,"",SUMIFS(INPUT_DATA!AM:AM,INPUT_DATA!$A:$A,$B51,INPUT_DATA!$C:$C,"D"))</f>
        <v/>
      </c>
      <c r="CN51" s="153" t="str">
        <f>IF($B51=0,"",SUMIFS(INPUT_DATA!AN:AN,INPUT_DATA!$A:$A,$B51,INPUT_DATA!$C:$C,"D"))</f>
        <v/>
      </c>
      <c r="CO51" s="153" t="str">
        <f>IF($B51=0,"",SUMIFS(INPUT_DATA!AO:AO,INPUT_DATA!$A:$A,$B51,INPUT_DATA!$C:$C,"D"))</f>
        <v/>
      </c>
      <c r="CP51" s="153" t="str">
        <f>IF($B51=0,"",SUMIFS(INPUT_DATA!AP:AP,INPUT_DATA!$A:$A,$B51,INPUT_DATA!$C:$C,"D"))</f>
        <v/>
      </c>
      <c r="CQ51" s="153" t="str">
        <f>IF($B51=0,"",SUMIFS(INPUT_DATA!AQ:AQ,INPUT_DATA!$A:$A,$B51,INPUT_DATA!$C:$C,"D"))</f>
        <v/>
      </c>
      <c r="CR51" s="737" t="str">
        <f t="shared" si="32"/>
        <v/>
      </c>
      <c r="CS51" s="737" t="str">
        <f t="shared" si="33"/>
        <v/>
      </c>
      <c r="CT51" s="737" t="str">
        <f t="shared" si="34"/>
        <v/>
      </c>
      <c r="CU51" s="726" t="str">
        <f>IF($B51=0,"",SUMIFS(INPUT_DATA!AR:AR,INPUT_DATA!$A:$A,$B51,INPUT_DATA!$C:$C,"D"))</f>
        <v/>
      </c>
      <c r="CV51" s="726" t="str">
        <f>IF($B51=0,"",SUMIFS(INPUT_DATA!AS:AS,INPUT_DATA!$A:$A,$B51,INPUT_DATA!$C:$C,"D"))</f>
        <v/>
      </c>
      <c r="CW51" s="726" t="str">
        <f>IF($B51=0,"",SUMIFS(INPUT_DATA!AT:AT,INPUT_DATA!$A:$A,$B51,INPUT_DATA!$C:$C,"D"))</f>
        <v/>
      </c>
      <c r="CX51" s="726" t="str">
        <f t="shared" si="35"/>
        <v/>
      </c>
      <c r="CY51" s="737" t="str">
        <f t="shared" si="36"/>
        <v/>
      </c>
      <c r="CZ51" s="748" t="str">
        <f t="shared" si="37"/>
        <v/>
      </c>
      <c r="DA51" s="150"/>
    </row>
    <row r="52" spans="1:105" x14ac:dyDescent="0.2">
      <c r="A52" s="172">
        <f t="shared" si="40"/>
        <v>-5</v>
      </c>
      <c r="B52" s="720">
        <f>INPUT_DATA!BQ39</f>
        <v>0</v>
      </c>
      <c r="C52" s="725" t="str">
        <f>IF($B52=0,"",SUMIFS(INPUT_DATA!D:D,INPUT_DATA!$A:$A,$B52,INPUT_DATA!$C:$C,"S"))</f>
        <v/>
      </c>
      <c r="D52" s="726" t="str">
        <f>IF($B52=0,"",SUMIFS(INPUT_DATA!E:E,INPUT_DATA!$A:$A,$B52,INPUT_DATA!$C:$C,"S"))</f>
        <v/>
      </c>
      <c r="E52" s="727" t="str">
        <f>IF($B52=0,"",SUMIFS(INPUT_DATA!F:F,INPUT_DATA!$A:$A,$B52,INPUT_DATA!$C:$C,"S"))</f>
        <v/>
      </c>
      <c r="F52" s="727" t="str">
        <f>IF($B52=0,"",SUMIFS(INPUT_DATA!G:G,INPUT_DATA!$A:$A,$B52,INPUT_DATA!$C:$C,"S"))</f>
        <v/>
      </c>
      <c r="G52" s="727" t="str">
        <f>IF($B52=0,"",SUMIFS(INPUT_DATA!H:H,INPUT_DATA!$A:$A,$B52,INPUT_DATA!$C:$C,"S"))</f>
        <v/>
      </c>
      <c r="H52" s="727" t="str">
        <f>IF($B52=0,"",SUMIFS(INPUT_DATA!I:I,INPUT_DATA!$A:$A,$B52,INPUT_DATA!$C:$C,"S"))</f>
        <v/>
      </c>
      <c r="I52" s="727" t="str">
        <f>IF($B52=0,"",SUMIFS(INPUT_DATA!J:J,INPUT_DATA!$A:$A,$B52,INPUT_DATA!$C:$C,"S"))</f>
        <v/>
      </c>
      <c r="J52" s="727" t="str">
        <f>IF($B52=0,"",SUMIFS(INPUT_DATA!K:K,INPUT_DATA!$A:$A,$B52,INPUT_DATA!$C:$C,"S"))</f>
        <v/>
      </c>
      <c r="K52" s="727" t="str">
        <f>IF($B52=0,"",SUMIFS(INPUT_DATA!L:L,INPUT_DATA!$A:$A,$B52,INPUT_DATA!$C:$C,"S"))</f>
        <v/>
      </c>
      <c r="L52" s="727" t="str">
        <f>IF($B52=0,"",SUMIFS(INPUT_DATA!M:M,INPUT_DATA!$A:$A,$B52,INPUT_DATA!$C:$C,"S"))</f>
        <v/>
      </c>
      <c r="M52" s="727" t="str">
        <f>IF($B52=0,"",SUMIFS(INPUT_DATA!N:N,INPUT_DATA!$A:$A,$B52,INPUT_DATA!$C:$C,"S"))</f>
        <v/>
      </c>
      <c r="N52" s="727" t="str">
        <f>IF($B52=0,"",SUMIFS(INPUT_DATA!O:O,INPUT_DATA!$A:$A,$B52,INPUT_DATA!$C:$C,"S"))</f>
        <v/>
      </c>
      <c r="O52" s="728" t="str">
        <f t="shared" si="38"/>
        <v/>
      </c>
      <c r="P52" s="729" t="str">
        <f>IF($B52=0,"",SUMIFS(INPUT_DATA!P:P,INPUT_DATA!$A:$A,$B52,INPUT_DATA!$C:$C,"S"))</f>
        <v/>
      </c>
      <c r="Q52" s="729" t="str">
        <f t="shared" si="39"/>
        <v/>
      </c>
      <c r="R52" s="735" t="str">
        <f>IF($B52=0,"",SUMIFS(INPUT_DATA!Q:Q,INPUT_DATA!$A:$A,$B52,INPUT_DATA!$C:$C,"S"))</f>
        <v/>
      </c>
      <c r="S52" s="735" t="str">
        <f>IF($B52=0,"",SUMIFS(INPUT_DATA!R:R,INPUT_DATA!$A:$A,$B52,INPUT_DATA!$C:$C,"S"))</f>
        <v/>
      </c>
      <c r="T52" s="735" t="str">
        <f>IF($B52=0,"",SUMIFS(INPUT_DATA!S:S,INPUT_DATA!$A:$A,$B52,INPUT_DATA!$C:$C,"S"))</f>
        <v/>
      </c>
      <c r="U52" s="312" t="str">
        <f>IF($B52=0,"",SUMIFS(INPUT_DATA!T:T,INPUT_DATA!$A:$A,$B52,INPUT_DATA!$C:$C,"S"))</f>
        <v/>
      </c>
      <c r="V52" s="312" t="str">
        <f>IF($B52=0,"",SUMIFS(INPUT_DATA!U:U,INPUT_DATA!$A:$A,$B52,INPUT_DATA!$C:$C,"S"))</f>
        <v/>
      </c>
      <c r="W52" s="312" t="str">
        <f>IF($B52=0,"",SUMIFS(INPUT_DATA!V:V,INPUT_DATA!$A:$A,$B52,INPUT_DATA!$C:$C,"S"))</f>
        <v/>
      </c>
      <c r="X52" s="312" t="str">
        <f>IF($B52=0,"",SUMIFS(INPUT_DATA!W:W,INPUT_DATA!$A:$A,$B52,INPUT_DATA!$C:$C,"S"))</f>
        <v/>
      </c>
      <c r="Y52" s="312" t="str">
        <f>IF($B52=0,"",SUMIFS(INPUT_DATA!X:X,INPUT_DATA!$A:$A,$B52,INPUT_DATA!$C:$C,"S"))</f>
        <v/>
      </c>
      <c r="Z52" s="312" t="str">
        <f>IF($B52=0,"",SUMIFS(INPUT_DATA!Y:Y,INPUT_DATA!$A:$A,$B52,INPUT_DATA!$C:$C,"S"))</f>
        <v/>
      </c>
      <c r="AA52" s="312" t="str">
        <f>IF($B52=0,"",SUMIFS(INPUT_DATA!Z:Z,INPUT_DATA!$A:$A,$B52,INPUT_DATA!$C:$C,"S"))</f>
        <v/>
      </c>
      <c r="AB52" s="312" t="str">
        <f>IF($B52=0,"",SUMIFS(INPUT_DATA!AA:AA,INPUT_DATA!$A:$A,$B52,INPUT_DATA!$C:$C,"S"))</f>
        <v/>
      </c>
      <c r="AC52" s="312" t="str">
        <f>IF($B52=0,"",SUMIFS(INPUT_DATA!AB:AB,INPUT_DATA!$A:$A,$B52,INPUT_DATA!$C:$C,"S"))</f>
        <v/>
      </c>
      <c r="AD52" s="312" t="str">
        <f>IF($B52=0,"",SUMIFS(INPUT_DATA!AC:AC,INPUT_DATA!$A:$A,$B52,INPUT_DATA!$C:$C,"S"))</f>
        <v/>
      </c>
      <c r="AE52" s="312" t="str">
        <f>IF($B52=0,"",SUMIFS(INPUT_DATA!AD:AD,INPUT_DATA!$A:$A,$B52,INPUT_DATA!$C:$C,"S"))</f>
        <v/>
      </c>
      <c r="AF52" s="312" t="str">
        <f>IF($B52=0,"",SUMIFS(INPUT_DATA!AE:AE,INPUT_DATA!$A:$A,$B52,INPUT_DATA!$C:$C,"S"))</f>
        <v/>
      </c>
      <c r="AG52" s="312" t="str">
        <f>IF($B52=0,"",SUMIFS(INPUT_DATA!AF:AF,INPUT_DATA!$A:$A,$B52,INPUT_DATA!$C:$C,"S"))</f>
        <v/>
      </c>
      <c r="AH52" s="312" t="str">
        <f>IF($B52=0,"",SUMIFS(INPUT_DATA!AG:AG,INPUT_DATA!$A:$A,$B52,INPUT_DATA!$C:$C,"S"))</f>
        <v/>
      </c>
      <c r="AI52" s="312" t="str">
        <f>IF($B52=0,"",SUMIFS(INPUT_DATA!AH:AH,INPUT_DATA!$A:$A,$B52,INPUT_DATA!$C:$C,"S"))</f>
        <v/>
      </c>
      <c r="AJ52" s="312" t="str">
        <f>IF($B52=0,"",SUMIFS(INPUT_DATA!AI:AI,INPUT_DATA!$A:$A,$B52,INPUT_DATA!$C:$C,"S"))</f>
        <v/>
      </c>
      <c r="AK52" s="312" t="str">
        <f>IF($B52=0,"",SUMIFS(INPUT_DATA!AJ:AJ,INPUT_DATA!$A:$A,$B52,INPUT_DATA!$C:$C,"S"))</f>
        <v/>
      </c>
      <c r="AL52" s="312" t="str">
        <f>IF($B52=0,"",SUMIFS(INPUT_DATA!AK:AK,INPUT_DATA!$A:$A,$B52,INPUT_DATA!$C:$C,"S"))</f>
        <v/>
      </c>
      <c r="AM52" s="312" t="str">
        <f>IF($B52=0,"",SUMIFS(INPUT_DATA!AL:AL,INPUT_DATA!$A:$A,$B52,INPUT_DATA!$C:$C,"S"))</f>
        <v/>
      </c>
      <c r="AN52" s="312" t="str">
        <f>IF($B52=0,"",SUMIFS(INPUT_DATA!AM:AM,INPUT_DATA!$A:$A,$B52,INPUT_DATA!$C:$C,"S"))</f>
        <v/>
      </c>
      <c r="AO52" s="312" t="str">
        <f>IF($B52=0,"",SUMIFS(INPUT_DATA!AN:AN,INPUT_DATA!$A:$A,$B52,INPUT_DATA!$C:$C,"S"))</f>
        <v/>
      </c>
      <c r="AP52" s="312" t="str">
        <f>IF($B52=0,"",SUMIFS(INPUT_DATA!AO:AO,INPUT_DATA!$A:$A,$B52,INPUT_DATA!$C:$C,"S"))</f>
        <v/>
      </c>
      <c r="AQ52" s="312" t="str">
        <f>IF($B52=0,"",SUMIFS(INPUT_DATA!AP:AP,INPUT_DATA!$A:$A,$B52,INPUT_DATA!$C:$C,"S"))</f>
        <v/>
      </c>
      <c r="AR52" s="312" t="str">
        <f>IF($B52=0,"",SUMIFS(INPUT_DATA!AQ:AQ,INPUT_DATA!$A:$A,$B52,INPUT_DATA!$C:$C,"S"))</f>
        <v/>
      </c>
      <c r="AS52" s="736" t="str">
        <f t="shared" si="29"/>
        <v/>
      </c>
      <c r="AT52" s="737" t="str">
        <f t="shared" si="30"/>
        <v/>
      </c>
      <c r="AU52" s="738" t="str">
        <f t="shared" si="31"/>
        <v/>
      </c>
      <c r="AV52" s="736" t="str">
        <f>IF($B52=0,"",SUMIFS(INPUT_DATA!AR:AR,INPUT_DATA!$A:$A,$B52,INPUT_DATA!$C:$C,"S"))</f>
        <v/>
      </c>
      <c r="AW52" s="737" t="str">
        <f>IF($B52=0,"",SUMIFS(INPUT_DATA!AS:AS,INPUT_DATA!$A:$A,$B52,INPUT_DATA!$C:$C,"S"))</f>
        <v/>
      </c>
      <c r="AX52" s="738" t="str">
        <f>IF($B52=0,"",SUMIFS(INPUT_DATA!AT:AT,INPUT_DATA!$A:$A,$B52,INPUT_DATA!$C:$C,"S"))</f>
        <v/>
      </c>
      <c r="AY52" s="736" t="str">
        <f t="shared" si="15"/>
        <v/>
      </c>
      <c r="AZ52" s="737" t="str">
        <f t="shared" si="16"/>
        <v/>
      </c>
      <c r="BA52" s="738" t="str">
        <f t="shared" si="17"/>
        <v/>
      </c>
      <c r="BB52" s="150"/>
      <c r="BC52" s="725" t="str">
        <f>IF($B52=0,"",SUMIFS(INPUT_DATA!D:D,INPUT_DATA!$A:$A,$B52,INPUT_DATA!$C:$C,"D"))</f>
        <v/>
      </c>
      <c r="BD52" s="311" t="str">
        <f>IF($B52=0,"",SUMIFS(INPUT_DATA!F:F,INPUT_DATA!$A:$A,$B52,INPUT_DATA!$C:$C,"D"))</f>
        <v/>
      </c>
      <c r="BE52" s="311" t="str">
        <f>IF($B52=0,"",SUMIFS(INPUT_DATA!G:G,INPUT_DATA!$A:$A,$B52,INPUT_DATA!$C:$C,"D"))</f>
        <v/>
      </c>
      <c r="BF52" s="311" t="str">
        <f>IF($B52=0,"",SUMIFS(INPUT_DATA!H:H,INPUT_DATA!$A:$A,$B52,INPUT_DATA!$C:$C,"D"))</f>
        <v/>
      </c>
      <c r="BG52" s="311" t="str">
        <f>IF($B52=0,"",SUMIFS(INPUT_DATA!I:I,INPUT_DATA!$A:$A,$B52,INPUT_DATA!$C:$C,"D"))</f>
        <v/>
      </c>
      <c r="BH52" s="311" t="str">
        <f>IF($B52=0,"",SUMIFS(INPUT_DATA!J:J,INPUT_DATA!$A:$A,$B52,INPUT_DATA!$C:$C,"D"))</f>
        <v/>
      </c>
      <c r="BI52" s="311" t="str">
        <f>IF($B52=0,"",SUMIFS(INPUT_DATA!K:K,INPUT_DATA!$A:$A,$B52,INPUT_DATA!$C:$C,"D"))</f>
        <v/>
      </c>
      <c r="BJ52" s="311" t="str">
        <f>IF($B52=0,"",SUMIFS(INPUT_DATA!L:L,INPUT_DATA!$A:$A,$B52,INPUT_DATA!$C:$C,"D"))</f>
        <v/>
      </c>
      <c r="BK52" s="311" t="str">
        <f>IF($B52=0,"",SUMIFS(INPUT_DATA!M:M,INPUT_DATA!$A:$A,$B52,INPUT_DATA!$C:$C,"D"))</f>
        <v/>
      </c>
      <c r="BL52" s="311" t="str">
        <f>IF($B52=0,"",SUMIFS(INPUT_DATA!N:N,INPUT_DATA!$A:$A,$B52,INPUT_DATA!$C:$C,"D"))</f>
        <v/>
      </c>
      <c r="BM52" s="311" t="str">
        <f>IF($B52=0,"",SUMIFS(INPUT_DATA!O:O,INPUT_DATA!$A:$A,$B52,INPUT_DATA!$C:$C,"D"))</f>
        <v/>
      </c>
      <c r="BN52" s="741" t="str">
        <f t="shared" si="18"/>
        <v/>
      </c>
      <c r="BO52" s="741" t="str">
        <f>IF($B52=0,"",SUMIFS(INPUT_DATA!O:O,INPUT_DATA!$A:$A,$B52,INPUT_DATA!$C:$C,"D"))</f>
        <v/>
      </c>
      <c r="BP52" s="741" t="str">
        <f t="shared" si="19"/>
        <v/>
      </c>
      <c r="BQ52" s="725" t="str">
        <f>IF($B52=0,"",SUMIFS(INPUT_DATA!Q:Q,INPUT_DATA!$A:$A,$B52,INPUT_DATA!$C:$C,"D"))</f>
        <v/>
      </c>
      <c r="BR52" s="747" t="str">
        <f>IF($B52=0,"",SUMIFS(INPUT_DATA!R:R,INPUT_DATA!$A:$A,$B52,INPUT_DATA!$C:$C,"D"))</f>
        <v/>
      </c>
      <c r="BS52" s="747" t="str">
        <f>IF($B52=0,"",SUMIFS(INPUT_DATA!S:S,INPUT_DATA!$A:$A,$B52,INPUT_DATA!$C:$C,"D"))</f>
        <v/>
      </c>
      <c r="BT52" s="311" t="str">
        <f>IF($B52=0,"",SUMIFS(INPUT_DATA!T:T,INPUT_DATA!$A:$A,$B52,INPUT_DATA!$C:$C,"D"))</f>
        <v/>
      </c>
      <c r="BU52" s="311" t="str">
        <f>IF($B52=0,"",SUMIFS(INPUT_DATA!U:U,INPUT_DATA!$A:$A,$B52,INPUT_DATA!$C:$C,"D"))</f>
        <v/>
      </c>
      <c r="BV52" s="311" t="str">
        <f>IF($B52=0,"",SUMIFS(INPUT_DATA!V:V,INPUT_DATA!$A:$A,$B52,INPUT_DATA!$C:$C,"D"))</f>
        <v/>
      </c>
      <c r="BW52" s="311" t="str">
        <f>IF($B52=0,"",SUMIFS(INPUT_DATA!W:W,INPUT_DATA!$A:$A,$B52,INPUT_DATA!$C:$C,"D"))</f>
        <v/>
      </c>
      <c r="BX52" s="311" t="str">
        <f>IF($B52=0,"",SUMIFS(INPUT_DATA!X:X,INPUT_DATA!$A:$A,$B52,INPUT_DATA!$C:$C,"D"))</f>
        <v/>
      </c>
      <c r="BY52" s="311" t="str">
        <f>IF($B52=0,"",SUMIFS(INPUT_DATA!Y:Y,INPUT_DATA!$A:$A,$B52,INPUT_DATA!$C:$C,"D"))</f>
        <v/>
      </c>
      <c r="BZ52" s="352" t="str">
        <f>IF($B52=0,"",SUMIFS(INPUT_DATA!Z:Z,INPUT_DATA!$A:$A,$B52,INPUT_DATA!$C:$C,"D"))</f>
        <v/>
      </c>
      <c r="CA52" s="352" t="str">
        <f>IF($B52=0,"",SUMIFS(INPUT_DATA!AA:AA,INPUT_DATA!$A:$A,$B52,INPUT_DATA!$C:$C,"D"))</f>
        <v/>
      </c>
      <c r="CB52" s="352" t="str">
        <f>IF($B52=0,"",SUMIFS(INPUT_DATA!AB:AB,INPUT_DATA!$A:$A,$B52,INPUT_DATA!$C:$C,"D"))</f>
        <v/>
      </c>
      <c r="CC52" s="311" t="str">
        <f>IF($B52=0,"",SUMIFS(INPUT_DATA!AC:AC,INPUT_DATA!$A:$A,$B52,INPUT_DATA!$C:$C,"D"))</f>
        <v/>
      </c>
      <c r="CD52" s="311" t="str">
        <f>IF($B52=0,"",SUMIFS(INPUT_DATA!AD:AD,INPUT_DATA!$A:$A,$B52,INPUT_DATA!$C:$C,"D"))</f>
        <v/>
      </c>
      <c r="CE52" s="311" t="str">
        <f>IF($B52=0,"",SUMIFS(INPUT_DATA!AE:AE,INPUT_DATA!$A:$A,$B52,INPUT_DATA!$C:$C,"D"))</f>
        <v/>
      </c>
      <c r="CF52" s="352" t="str">
        <f>IF($B52=0,"",SUMIFS(INPUT_DATA!AF:AF,INPUT_DATA!$A:$A,$B52,INPUT_DATA!$C:$C,"D"))</f>
        <v/>
      </c>
      <c r="CG52" s="352" t="str">
        <f>IF($B52=0,"",SUMIFS(INPUT_DATA!AG:AG,INPUT_DATA!$A:$A,$B52,INPUT_DATA!$C:$C,"D"))</f>
        <v/>
      </c>
      <c r="CH52" s="352" t="str">
        <f>IF($B52=0,"",SUMIFS(INPUT_DATA!AH:AH,INPUT_DATA!$A:$A,$B52,INPUT_DATA!$C:$C,"D"))</f>
        <v/>
      </c>
      <c r="CI52" s="153" t="str">
        <f>IF($B52=0,"",SUMIFS(INPUT_DATA!AI:AI,INPUT_DATA!$A:$A,$B52,INPUT_DATA!$C:$C,"D"))</f>
        <v/>
      </c>
      <c r="CJ52" s="153" t="str">
        <f>IF($B52=0,"",SUMIFS(INPUT_DATA!AJ:AJ,INPUT_DATA!$A:$A,$B52,INPUT_DATA!$C:$C,"D"))</f>
        <v/>
      </c>
      <c r="CK52" s="153" t="str">
        <f>IF($B52=0,"",SUMIFS(INPUT_DATA!AK:AK,INPUT_DATA!$A:$A,$B52,INPUT_DATA!$C:$C,"D"))</f>
        <v/>
      </c>
      <c r="CL52" s="153" t="str">
        <f>IF($B52=0,"",SUMIFS(INPUT_DATA!AL:AL,INPUT_DATA!$A:$A,$B52,INPUT_DATA!$C:$C,"D"))</f>
        <v/>
      </c>
      <c r="CM52" s="153" t="str">
        <f>IF($B52=0,"",SUMIFS(INPUT_DATA!AM:AM,INPUT_DATA!$A:$A,$B52,INPUT_DATA!$C:$C,"D"))</f>
        <v/>
      </c>
      <c r="CN52" s="153" t="str">
        <f>IF($B52=0,"",SUMIFS(INPUT_DATA!AN:AN,INPUT_DATA!$A:$A,$B52,INPUT_DATA!$C:$C,"D"))</f>
        <v/>
      </c>
      <c r="CO52" s="153" t="str">
        <f>IF($B52=0,"",SUMIFS(INPUT_DATA!AO:AO,INPUT_DATA!$A:$A,$B52,INPUT_DATA!$C:$C,"D"))</f>
        <v/>
      </c>
      <c r="CP52" s="153" t="str">
        <f>IF($B52=0,"",SUMIFS(INPUT_DATA!AP:AP,INPUT_DATA!$A:$A,$B52,INPUT_DATA!$C:$C,"D"))</f>
        <v/>
      </c>
      <c r="CQ52" s="153" t="str">
        <f>IF($B52=0,"",SUMIFS(INPUT_DATA!AQ:AQ,INPUT_DATA!$A:$A,$B52,INPUT_DATA!$C:$C,"D"))</f>
        <v/>
      </c>
      <c r="CR52" s="737" t="str">
        <f t="shared" si="32"/>
        <v/>
      </c>
      <c r="CS52" s="737" t="str">
        <f t="shared" si="33"/>
        <v/>
      </c>
      <c r="CT52" s="737" t="str">
        <f t="shared" si="34"/>
        <v/>
      </c>
      <c r="CU52" s="726" t="str">
        <f>IF($B52=0,"",SUMIFS(INPUT_DATA!AR:AR,INPUT_DATA!$A:$A,$B52,INPUT_DATA!$C:$C,"D"))</f>
        <v/>
      </c>
      <c r="CV52" s="726" t="str">
        <f>IF($B52=0,"",SUMIFS(INPUT_DATA!AS:AS,INPUT_DATA!$A:$A,$B52,INPUT_DATA!$C:$C,"D"))</f>
        <v/>
      </c>
      <c r="CW52" s="726" t="str">
        <f>IF($B52=0,"",SUMIFS(INPUT_DATA!AT:AT,INPUT_DATA!$A:$A,$B52,INPUT_DATA!$C:$C,"D"))</f>
        <v/>
      </c>
      <c r="CX52" s="726" t="str">
        <f t="shared" si="35"/>
        <v/>
      </c>
      <c r="CY52" s="737" t="str">
        <f t="shared" si="36"/>
        <v/>
      </c>
      <c r="CZ52" s="748" t="str">
        <f t="shared" si="37"/>
        <v/>
      </c>
      <c r="DA52" s="150"/>
    </row>
    <row r="53" spans="1:105" x14ac:dyDescent="0.2">
      <c r="A53" s="172">
        <f t="shared" si="40"/>
        <v>-6</v>
      </c>
      <c r="B53" s="720">
        <f>INPUT_DATA!BQ40</f>
        <v>0</v>
      </c>
      <c r="C53" s="725" t="str">
        <f>IF($B53=0,"",SUMIFS(INPUT_DATA!D:D,INPUT_DATA!$A:$A,$B53,INPUT_DATA!$C:$C,"S"))</f>
        <v/>
      </c>
      <c r="D53" s="726" t="str">
        <f>IF($B53=0,"",SUMIFS(INPUT_DATA!E:E,INPUT_DATA!$A:$A,$B53,INPUT_DATA!$C:$C,"S"))</f>
        <v/>
      </c>
      <c r="E53" s="727" t="str">
        <f>IF($B53=0,"",SUMIFS(INPUT_DATA!F:F,INPUT_DATA!$A:$A,$B53,INPUT_DATA!$C:$C,"S"))</f>
        <v/>
      </c>
      <c r="F53" s="727" t="str">
        <f>IF($B53=0,"",SUMIFS(INPUT_DATA!G:G,INPUT_DATA!$A:$A,$B53,INPUT_DATA!$C:$C,"S"))</f>
        <v/>
      </c>
      <c r="G53" s="727" t="str">
        <f>IF($B53=0,"",SUMIFS(INPUT_DATA!H:H,INPUT_DATA!$A:$A,$B53,INPUT_DATA!$C:$C,"S"))</f>
        <v/>
      </c>
      <c r="H53" s="727" t="str">
        <f>IF($B53=0,"",SUMIFS(INPUT_DATA!I:I,INPUT_DATA!$A:$A,$B53,INPUT_DATA!$C:$C,"S"))</f>
        <v/>
      </c>
      <c r="I53" s="727" t="str">
        <f>IF($B53=0,"",SUMIFS(INPUT_DATA!J:J,INPUT_DATA!$A:$A,$B53,INPUT_DATA!$C:$C,"S"))</f>
        <v/>
      </c>
      <c r="J53" s="727" t="str">
        <f>IF($B53=0,"",SUMIFS(INPUT_DATA!K:K,INPUT_DATA!$A:$A,$B53,INPUT_DATA!$C:$C,"S"))</f>
        <v/>
      </c>
      <c r="K53" s="727" t="str">
        <f>IF($B53=0,"",SUMIFS(INPUT_DATA!L:L,INPUT_DATA!$A:$A,$B53,INPUT_DATA!$C:$C,"S"))</f>
        <v/>
      </c>
      <c r="L53" s="727" t="str">
        <f>IF($B53=0,"",SUMIFS(INPUT_DATA!M:M,INPUT_DATA!$A:$A,$B53,INPUT_DATA!$C:$C,"S"))</f>
        <v/>
      </c>
      <c r="M53" s="727" t="str">
        <f>IF($B53=0,"",SUMIFS(INPUT_DATA!N:N,INPUT_DATA!$A:$A,$B53,INPUT_DATA!$C:$C,"S"))</f>
        <v/>
      </c>
      <c r="N53" s="727" t="str">
        <f>IF($B53=0,"",SUMIFS(INPUT_DATA!O:O,INPUT_DATA!$A:$A,$B53,INPUT_DATA!$C:$C,"S"))</f>
        <v/>
      </c>
      <c r="O53" s="728" t="str">
        <f t="shared" si="38"/>
        <v/>
      </c>
      <c r="P53" s="729" t="str">
        <f>IF($B53=0,"",SUMIFS(INPUT_DATA!P:P,INPUT_DATA!$A:$A,$B53,INPUT_DATA!$C:$C,"S"))</f>
        <v/>
      </c>
      <c r="Q53" s="729" t="str">
        <f t="shared" si="39"/>
        <v/>
      </c>
      <c r="R53" s="735" t="str">
        <f>IF($B53=0,"",SUMIFS(INPUT_DATA!Q:Q,INPUT_DATA!$A:$A,$B53,INPUT_DATA!$C:$C,"S"))</f>
        <v/>
      </c>
      <c r="S53" s="735" t="str">
        <f>IF($B53=0,"",SUMIFS(INPUT_DATA!R:R,INPUT_DATA!$A:$A,$B53,INPUT_DATA!$C:$C,"S"))</f>
        <v/>
      </c>
      <c r="T53" s="735" t="str">
        <f>IF($B53=0,"",SUMIFS(INPUT_DATA!S:S,INPUT_DATA!$A:$A,$B53,INPUT_DATA!$C:$C,"S"))</f>
        <v/>
      </c>
      <c r="U53" s="312" t="str">
        <f>IF($B53=0,"",SUMIFS(INPUT_DATA!T:T,INPUT_DATA!$A:$A,$B53,INPUT_DATA!$C:$C,"S"))</f>
        <v/>
      </c>
      <c r="V53" s="312" t="str">
        <f>IF($B53=0,"",SUMIFS(INPUT_DATA!U:U,INPUT_DATA!$A:$A,$B53,INPUT_DATA!$C:$C,"S"))</f>
        <v/>
      </c>
      <c r="W53" s="312" t="str">
        <f>IF($B53=0,"",SUMIFS(INPUT_DATA!V:V,INPUT_DATA!$A:$A,$B53,INPUT_DATA!$C:$C,"S"))</f>
        <v/>
      </c>
      <c r="X53" s="312" t="str">
        <f>IF($B53=0,"",SUMIFS(INPUT_DATA!W:W,INPUT_DATA!$A:$A,$B53,INPUT_DATA!$C:$C,"S"))</f>
        <v/>
      </c>
      <c r="Y53" s="312" t="str">
        <f>IF($B53=0,"",SUMIFS(INPUT_DATA!X:X,INPUT_DATA!$A:$A,$B53,INPUT_DATA!$C:$C,"S"))</f>
        <v/>
      </c>
      <c r="Z53" s="312" t="str">
        <f>IF($B53=0,"",SUMIFS(INPUT_DATA!Y:Y,INPUT_DATA!$A:$A,$B53,INPUT_DATA!$C:$C,"S"))</f>
        <v/>
      </c>
      <c r="AA53" s="312" t="str">
        <f>IF($B53=0,"",SUMIFS(INPUT_DATA!Z:Z,INPUT_DATA!$A:$A,$B53,INPUT_DATA!$C:$C,"S"))</f>
        <v/>
      </c>
      <c r="AB53" s="312" t="str">
        <f>IF($B53=0,"",SUMIFS(INPUT_DATA!AA:AA,INPUT_DATA!$A:$A,$B53,INPUT_DATA!$C:$C,"S"))</f>
        <v/>
      </c>
      <c r="AC53" s="312" t="str">
        <f>IF($B53=0,"",SUMIFS(INPUT_DATA!AB:AB,INPUT_DATA!$A:$A,$B53,INPUT_DATA!$C:$C,"S"))</f>
        <v/>
      </c>
      <c r="AD53" s="312" t="str">
        <f>IF($B53=0,"",SUMIFS(INPUT_DATA!AC:AC,INPUT_DATA!$A:$A,$B53,INPUT_DATA!$C:$C,"S"))</f>
        <v/>
      </c>
      <c r="AE53" s="312" t="str">
        <f>IF($B53=0,"",SUMIFS(INPUT_DATA!AD:AD,INPUT_DATA!$A:$A,$B53,INPUT_DATA!$C:$C,"S"))</f>
        <v/>
      </c>
      <c r="AF53" s="312" t="str">
        <f>IF($B53=0,"",SUMIFS(INPUT_DATA!AE:AE,INPUT_DATA!$A:$A,$B53,INPUT_DATA!$C:$C,"S"))</f>
        <v/>
      </c>
      <c r="AG53" s="312" t="str">
        <f>IF($B53=0,"",SUMIFS(INPUT_DATA!AF:AF,INPUT_DATA!$A:$A,$B53,INPUT_DATA!$C:$C,"S"))</f>
        <v/>
      </c>
      <c r="AH53" s="312" t="str">
        <f>IF($B53=0,"",SUMIFS(INPUT_DATA!AG:AG,INPUT_DATA!$A:$A,$B53,INPUT_DATA!$C:$C,"S"))</f>
        <v/>
      </c>
      <c r="AI53" s="312" t="str">
        <f>IF($B53=0,"",SUMIFS(INPUT_DATA!AH:AH,INPUT_DATA!$A:$A,$B53,INPUT_DATA!$C:$C,"S"))</f>
        <v/>
      </c>
      <c r="AJ53" s="312" t="str">
        <f>IF($B53=0,"",SUMIFS(INPUT_DATA!AI:AI,INPUT_DATA!$A:$A,$B53,INPUT_DATA!$C:$C,"S"))</f>
        <v/>
      </c>
      <c r="AK53" s="312" t="str">
        <f>IF($B53=0,"",SUMIFS(INPUT_DATA!AJ:AJ,INPUT_DATA!$A:$A,$B53,INPUT_DATA!$C:$C,"S"))</f>
        <v/>
      </c>
      <c r="AL53" s="312" t="str">
        <f>IF($B53=0,"",SUMIFS(INPUT_DATA!AK:AK,INPUT_DATA!$A:$A,$B53,INPUT_DATA!$C:$C,"S"))</f>
        <v/>
      </c>
      <c r="AM53" s="312" t="str">
        <f>IF($B53=0,"",SUMIFS(INPUT_DATA!AL:AL,INPUT_DATA!$A:$A,$B53,INPUT_DATA!$C:$C,"S"))</f>
        <v/>
      </c>
      <c r="AN53" s="312" t="str">
        <f>IF($B53=0,"",SUMIFS(INPUT_DATA!AM:AM,INPUT_DATA!$A:$A,$B53,INPUT_DATA!$C:$C,"S"))</f>
        <v/>
      </c>
      <c r="AO53" s="312" t="str">
        <f>IF($B53=0,"",SUMIFS(INPUT_DATA!AN:AN,INPUT_DATA!$A:$A,$B53,INPUT_DATA!$C:$C,"S"))</f>
        <v/>
      </c>
      <c r="AP53" s="312" t="str">
        <f>IF($B53=0,"",SUMIFS(INPUT_DATA!AO:AO,INPUT_DATA!$A:$A,$B53,INPUT_DATA!$C:$C,"S"))</f>
        <v/>
      </c>
      <c r="AQ53" s="312" t="str">
        <f>IF($B53=0,"",SUMIFS(INPUT_DATA!AP:AP,INPUT_DATA!$A:$A,$B53,INPUT_DATA!$C:$C,"S"))</f>
        <v/>
      </c>
      <c r="AR53" s="312" t="str">
        <f>IF($B53=0,"",SUMIFS(INPUT_DATA!AQ:AQ,INPUT_DATA!$A:$A,$B53,INPUT_DATA!$C:$C,"S"))</f>
        <v/>
      </c>
      <c r="AS53" s="736" t="str">
        <f t="shared" si="29"/>
        <v/>
      </c>
      <c r="AT53" s="737" t="str">
        <f t="shared" si="30"/>
        <v/>
      </c>
      <c r="AU53" s="738" t="str">
        <f t="shared" si="31"/>
        <v/>
      </c>
      <c r="AV53" s="736" t="str">
        <f>IF($B53=0,"",SUMIFS(INPUT_DATA!AR:AR,INPUT_DATA!$A:$A,$B53,INPUT_DATA!$C:$C,"S"))</f>
        <v/>
      </c>
      <c r="AW53" s="737" t="str">
        <f>IF($B53=0,"",SUMIFS(INPUT_DATA!AS:AS,INPUT_DATA!$A:$A,$B53,INPUT_DATA!$C:$C,"S"))</f>
        <v/>
      </c>
      <c r="AX53" s="738" t="str">
        <f>IF($B53=0,"",SUMIFS(INPUT_DATA!AT:AT,INPUT_DATA!$A:$A,$B53,INPUT_DATA!$C:$C,"S"))</f>
        <v/>
      </c>
      <c r="AY53" s="736" t="str">
        <f t="shared" si="15"/>
        <v/>
      </c>
      <c r="AZ53" s="737" t="str">
        <f t="shared" si="16"/>
        <v/>
      </c>
      <c r="BA53" s="738" t="str">
        <f t="shared" si="17"/>
        <v/>
      </c>
      <c r="BB53" s="150"/>
      <c r="BC53" s="725" t="str">
        <f>IF($B53=0,"",SUMIFS(INPUT_DATA!D:D,INPUT_DATA!$A:$A,$B53,INPUT_DATA!$C:$C,"D"))</f>
        <v/>
      </c>
      <c r="BD53" s="311" t="str">
        <f>IF($B53=0,"",SUMIFS(INPUT_DATA!F:F,INPUT_DATA!$A:$A,$B53,INPUT_DATA!$C:$C,"D"))</f>
        <v/>
      </c>
      <c r="BE53" s="311" t="str">
        <f>IF($B53=0,"",SUMIFS(INPUT_DATA!G:G,INPUT_DATA!$A:$A,$B53,INPUT_DATA!$C:$C,"D"))</f>
        <v/>
      </c>
      <c r="BF53" s="311" t="str">
        <f>IF($B53=0,"",SUMIFS(INPUT_DATA!H:H,INPUT_DATA!$A:$A,$B53,INPUT_DATA!$C:$C,"D"))</f>
        <v/>
      </c>
      <c r="BG53" s="311" t="str">
        <f>IF($B53=0,"",SUMIFS(INPUT_DATA!I:I,INPUT_DATA!$A:$A,$B53,INPUT_DATA!$C:$C,"D"))</f>
        <v/>
      </c>
      <c r="BH53" s="311" t="str">
        <f>IF($B53=0,"",SUMIFS(INPUT_DATA!J:J,INPUT_DATA!$A:$A,$B53,INPUT_DATA!$C:$C,"D"))</f>
        <v/>
      </c>
      <c r="BI53" s="311" t="str">
        <f>IF($B53=0,"",SUMIFS(INPUT_DATA!K:K,INPUT_DATA!$A:$A,$B53,INPUT_DATA!$C:$C,"D"))</f>
        <v/>
      </c>
      <c r="BJ53" s="311" t="str">
        <f>IF($B53=0,"",SUMIFS(INPUT_DATA!L:L,INPUT_DATA!$A:$A,$B53,INPUT_DATA!$C:$C,"D"))</f>
        <v/>
      </c>
      <c r="BK53" s="311" t="str">
        <f>IF($B53=0,"",SUMIFS(INPUT_DATA!M:M,INPUT_DATA!$A:$A,$B53,INPUT_DATA!$C:$C,"D"))</f>
        <v/>
      </c>
      <c r="BL53" s="311" t="str">
        <f>IF($B53=0,"",SUMIFS(INPUT_DATA!N:N,INPUT_DATA!$A:$A,$B53,INPUT_DATA!$C:$C,"D"))</f>
        <v/>
      </c>
      <c r="BM53" s="311" t="str">
        <f>IF($B53=0,"",SUMIFS(INPUT_DATA!O:O,INPUT_DATA!$A:$A,$B53,INPUT_DATA!$C:$C,"D"))</f>
        <v/>
      </c>
      <c r="BN53" s="741" t="str">
        <f t="shared" si="18"/>
        <v/>
      </c>
      <c r="BO53" s="741" t="str">
        <f>IF($B53=0,"",SUMIFS(INPUT_DATA!O:O,INPUT_DATA!$A:$A,$B53,INPUT_DATA!$C:$C,"D"))</f>
        <v/>
      </c>
      <c r="BP53" s="741" t="str">
        <f t="shared" si="19"/>
        <v/>
      </c>
      <c r="BQ53" s="725" t="str">
        <f>IF($B53=0,"",SUMIFS(INPUT_DATA!Q:Q,INPUT_DATA!$A:$A,$B53,INPUT_DATA!$C:$C,"D"))</f>
        <v/>
      </c>
      <c r="BR53" s="747" t="str">
        <f>IF($B53=0,"",SUMIFS(INPUT_DATA!R:R,INPUT_DATA!$A:$A,$B53,INPUT_DATA!$C:$C,"D"))</f>
        <v/>
      </c>
      <c r="BS53" s="747" t="str">
        <f>IF($B53=0,"",SUMIFS(INPUT_DATA!S:S,INPUT_DATA!$A:$A,$B53,INPUT_DATA!$C:$C,"D"))</f>
        <v/>
      </c>
      <c r="BT53" s="311" t="str">
        <f>IF($B53=0,"",SUMIFS(INPUT_DATA!T:T,INPUT_DATA!$A:$A,$B53,INPUT_DATA!$C:$C,"D"))</f>
        <v/>
      </c>
      <c r="BU53" s="311" t="str">
        <f>IF($B53=0,"",SUMIFS(INPUT_DATA!U:U,INPUT_DATA!$A:$A,$B53,INPUT_DATA!$C:$C,"D"))</f>
        <v/>
      </c>
      <c r="BV53" s="311" t="str">
        <f>IF($B53=0,"",SUMIFS(INPUT_DATA!V:V,INPUT_DATA!$A:$A,$B53,INPUT_DATA!$C:$C,"D"))</f>
        <v/>
      </c>
      <c r="BW53" s="311" t="str">
        <f>IF($B53=0,"",SUMIFS(INPUT_DATA!W:W,INPUT_DATA!$A:$A,$B53,INPUT_DATA!$C:$C,"D"))</f>
        <v/>
      </c>
      <c r="BX53" s="311" t="str">
        <f>IF($B53=0,"",SUMIFS(INPUT_DATA!X:X,INPUT_DATA!$A:$A,$B53,INPUT_DATA!$C:$C,"D"))</f>
        <v/>
      </c>
      <c r="BY53" s="311" t="str">
        <f>IF($B53=0,"",SUMIFS(INPUT_DATA!Y:Y,INPUT_DATA!$A:$A,$B53,INPUT_DATA!$C:$C,"D"))</f>
        <v/>
      </c>
      <c r="BZ53" s="352" t="str">
        <f>IF($B53=0,"",SUMIFS(INPUT_DATA!Z:Z,INPUT_DATA!$A:$A,$B53,INPUT_DATA!$C:$C,"D"))</f>
        <v/>
      </c>
      <c r="CA53" s="352" t="str">
        <f>IF($B53=0,"",SUMIFS(INPUT_DATA!AA:AA,INPUT_DATA!$A:$A,$B53,INPUT_DATA!$C:$C,"D"))</f>
        <v/>
      </c>
      <c r="CB53" s="352" t="str">
        <f>IF($B53=0,"",SUMIFS(INPUT_DATA!AB:AB,INPUT_DATA!$A:$A,$B53,INPUT_DATA!$C:$C,"D"))</f>
        <v/>
      </c>
      <c r="CC53" s="311" t="str">
        <f>IF($B53=0,"",SUMIFS(INPUT_DATA!AC:AC,INPUT_DATA!$A:$A,$B53,INPUT_DATA!$C:$C,"D"))</f>
        <v/>
      </c>
      <c r="CD53" s="311" t="str">
        <f>IF($B53=0,"",SUMIFS(INPUT_DATA!AD:AD,INPUT_DATA!$A:$A,$B53,INPUT_DATA!$C:$C,"D"))</f>
        <v/>
      </c>
      <c r="CE53" s="311" t="str">
        <f>IF($B53=0,"",SUMIFS(INPUT_DATA!AE:AE,INPUT_DATA!$A:$A,$B53,INPUT_DATA!$C:$C,"D"))</f>
        <v/>
      </c>
      <c r="CF53" s="352" t="str">
        <f>IF($B53=0,"",SUMIFS(INPUT_DATA!AF:AF,INPUT_DATA!$A:$A,$B53,INPUT_DATA!$C:$C,"D"))</f>
        <v/>
      </c>
      <c r="CG53" s="352" t="str">
        <f>IF($B53=0,"",SUMIFS(INPUT_DATA!AG:AG,INPUT_DATA!$A:$A,$B53,INPUT_DATA!$C:$C,"D"))</f>
        <v/>
      </c>
      <c r="CH53" s="352" t="str">
        <f>IF($B53=0,"",SUMIFS(INPUT_DATA!AH:AH,INPUT_DATA!$A:$A,$B53,INPUT_DATA!$C:$C,"D"))</f>
        <v/>
      </c>
      <c r="CI53" s="153" t="str">
        <f>IF($B53=0,"",SUMIFS(INPUT_DATA!AI:AI,INPUT_DATA!$A:$A,$B53,INPUT_DATA!$C:$C,"D"))</f>
        <v/>
      </c>
      <c r="CJ53" s="153" t="str">
        <f>IF($B53=0,"",SUMIFS(INPUT_DATA!AJ:AJ,INPUT_DATA!$A:$A,$B53,INPUT_DATA!$C:$C,"D"))</f>
        <v/>
      </c>
      <c r="CK53" s="153" t="str">
        <f>IF($B53=0,"",SUMIFS(INPUT_DATA!AK:AK,INPUT_DATA!$A:$A,$B53,INPUT_DATA!$C:$C,"D"))</f>
        <v/>
      </c>
      <c r="CL53" s="153" t="str">
        <f>IF($B53=0,"",SUMIFS(INPUT_DATA!AL:AL,INPUT_DATA!$A:$A,$B53,INPUT_DATA!$C:$C,"D"))</f>
        <v/>
      </c>
      <c r="CM53" s="153" t="str">
        <f>IF($B53=0,"",SUMIFS(INPUT_DATA!AM:AM,INPUT_DATA!$A:$A,$B53,INPUT_DATA!$C:$C,"D"))</f>
        <v/>
      </c>
      <c r="CN53" s="153" t="str">
        <f>IF($B53=0,"",SUMIFS(INPUT_DATA!AN:AN,INPUT_DATA!$A:$A,$B53,INPUT_DATA!$C:$C,"D"))</f>
        <v/>
      </c>
      <c r="CO53" s="153" t="str">
        <f>IF($B53=0,"",SUMIFS(INPUT_DATA!AO:AO,INPUT_DATA!$A:$A,$B53,INPUT_DATA!$C:$C,"D"))</f>
        <v/>
      </c>
      <c r="CP53" s="153" t="str">
        <f>IF($B53=0,"",SUMIFS(INPUT_DATA!AP:AP,INPUT_DATA!$A:$A,$B53,INPUT_DATA!$C:$C,"D"))</f>
        <v/>
      </c>
      <c r="CQ53" s="153" t="str">
        <f>IF($B53=0,"",SUMIFS(INPUT_DATA!AQ:AQ,INPUT_DATA!$A:$A,$B53,INPUT_DATA!$C:$C,"D"))</f>
        <v/>
      </c>
      <c r="CR53" s="737" t="str">
        <f t="shared" si="32"/>
        <v/>
      </c>
      <c r="CS53" s="737" t="str">
        <f t="shared" si="33"/>
        <v/>
      </c>
      <c r="CT53" s="737" t="str">
        <f t="shared" si="34"/>
        <v/>
      </c>
      <c r="CU53" s="726" t="str">
        <f>IF($B53=0,"",SUMIFS(INPUT_DATA!AR:AR,INPUT_DATA!$A:$A,$B53,INPUT_DATA!$C:$C,"D"))</f>
        <v/>
      </c>
      <c r="CV53" s="726" t="str">
        <f>IF($B53=0,"",SUMIFS(INPUT_DATA!AS:AS,INPUT_DATA!$A:$A,$B53,INPUT_DATA!$C:$C,"D"))</f>
        <v/>
      </c>
      <c r="CW53" s="726" t="str">
        <f>IF($B53=0,"",SUMIFS(INPUT_DATA!AT:AT,INPUT_DATA!$A:$A,$B53,INPUT_DATA!$C:$C,"D"))</f>
        <v/>
      </c>
      <c r="CX53" s="726" t="str">
        <f t="shared" si="35"/>
        <v/>
      </c>
      <c r="CY53" s="737" t="str">
        <f t="shared" si="36"/>
        <v/>
      </c>
      <c r="CZ53" s="748" t="str">
        <f t="shared" si="37"/>
        <v/>
      </c>
      <c r="DA53" s="150"/>
    </row>
    <row r="54" spans="1:105" x14ac:dyDescent="0.2">
      <c r="A54" s="172">
        <f t="shared" si="40"/>
        <v>-7</v>
      </c>
      <c r="B54" s="720">
        <f>INPUT_DATA!BQ41</f>
        <v>0</v>
      </c>
      <c r="C54" s="725" t="str">
        <f>IF($B54=0,"",SUMIFS(INPUT_DATA!D:D,INPUT_DATA!$A:$A,$B54,INPUT_DATA!$C:$C,"S"))</f>
        <v/>
      </c>
      <c r="D54" s="726" t="str">
        <f>IF($B54=0,"",SUMIFS(INPUT_DATA!E:E,INPUT_DATA!$A:$A,$B54,INPUT_DATA!$C:$C,"S"))</f>
        <v/>
      </c>
      <c r="E54" s="727" t="str">
        <f>IF($B54=0,"",SUMIFS(INPUT_DATA!F:F,INPUT_DATA!$A:$A,$B54,INPUT_DATA!$C:$C,"S"))</f>
        <v/>
      </c>
      <c r="F54" s="727" t="str">
        <f>IF($B54=0,"",SUMIFS(INPUT_DATA!G:G,INPUT_DATA!$A:$A,$B54,INPUT_DATA!$C:$C,"S"))</f>
        <v/>
      </c>
      <c r="G54" s="727" t="str">
        <f>IF($B54=0,"",SUMIFS(INPUT_DATA!H:H,INPUT_DATA!$A:$A,$B54,INPUT_DATA!$C:$C,"S"))</f>
        <v/>
      </c>
      <c r="H54" s="727" t="str">
        <f>IF($B54=0,"",SUMIFS(INPUT_DATA!I:I,INPUT_DATA!$A:$A,$B54,INPUT_DATA!$C:$C,"S"))</f>
        <v/>
      </c>
      <c r="I54" s="727" t="str">
        <f>IF($B54=0,"",SUMIFS(INPUT_DATA!J:J,INPUT_DATA!$A:$A,$B54,INPUT_DATA!$C:$C,"S"))</f>
        <v/>
      </c>
      <c r="J54" s="727" t="str">
        <f>IF($B54=0,"",SUMIFS(INPUT_DATA!K:K,INPUT_DATA!$A:$A,$B54,INPUT_DATA!$C:$C,"S"))</f>
        <v/>
      </c>
      <c r="K54" s="727" t="str">
        <f>IF($B54=0,"",SUMIFS(INPUT_DATA!L:L,INPUT_DATA!$A:$A,$B54,INPUT_DATA!$C:$C,"S"))</f>
        <v/>
      </c>
      <c r="L54" s="727" t="str">
        <f>IF($B54=0,"",SUMIFS(INPUT_DATA!M:M,INPUT_DATA!$A:$A,$B54,INPUT_DATA!$C:$C,"S"))</f>
        <v/>
      </c>
      <c r="M54" s="727" t="str">
        <f>IF($B54=0,"",SUMIFS(INPUT_DATA!N:N,INPUT_DATA!$A:$A,$B54,INPUT_DATA!$C:$C,"S"))</f>
        <v/>
      </c>
      <c r="N54" s="727" t="str">
        <f>IF($B54=0,"",SUMIFS(INPUT_DATA!O:O,INPUT_DATA!$A:$A,$B54,INPUT_DATA!$C:$C,"S"))</f>
        <v/>
      </c>
      <c r="O54" s="728" t="str">
        <f t="shared" si="38"/>
        <v/>
      </c>
      <c r="P54" s="729" t="str">
        <f>IF($B54=0,"",SUMIFS(INPUT_DATA!P:P,INPUT_DATA!$A:$A,$B54,INPUT_DATA!$C:$C,"S"))</f>
        <v/>
      </c>
      <c r="Q54" s="729" t="str">
        <f t="shared" si="39"/>
        <v/>
      </c>
      <c r="R54" s="735" t="str">
        <f>IF($B54=0,"",SUMIFS(INPUT_DATA!Q:Q,INPUT_DATA!$A:$A,$B54,INPUT_DATA!$C:$C,"S"))</f>
        <v/>
      </c>
      <c r="S54" s="735" t="str">
        <f>IF($B54=0,"",SUMIFS(INPUT_DATA!R:R,INPUT_DATA!$A:$A,$B54,INPUT_DATA!$C:$C,"S"))</f>
        <v/>
      </c>
      <c r="T54" s="735" t="str">
        <f>IF($B54=0,"",SUMIFS(INPUT_DATA!S:S,INPUT_DATA!$A:$A,$B54,INPUT_DATA!$C:$C,"S"))</f>
        <v/>
      </c>
      <c r="U54" s="312" t="str">
        <f>IF($B54=0,"",SUMIFS(INPUT_DATA!T:T,INPUT_DATA!$A:$A,$B54,INPUT_DATA!$C:$C,"S"))</f>
        <v/>
      </c>
      <c r="V54" s="312" t="str">
        <f>IF($B54=0,"",SUMIFS(INPUT_DATA!U:U,INPUT_DATA!$A:$A,$B54,INPUT_DATA!$C:$C,"S"))</f>
        <v/>
      </c>
      <c r="W54" s="312" t="str">
        <f>IF($B54=0,"",SUMIFS(INPUT_DATA!V:V,INPUT_DATA!$A:$A,$B54,INPUT_DATA!$C:$C,"S"))</f>
        <v/>
      </c>
      <c r="X54" s="312" t="str">
        <f>IF($B54=0,"",SUMIFS(INPUT_DATA!W:W,INPUT_DATA!$A:$A,$B54,INPUT_DATA!$C:$C,"S"))</f>
        <v/>
      </c>
      <c r="Y54" s="312" t="str">
        <f>IF($B54=0,"",SUMIFS(INPUT_DATA!X:X,INPUT_DATA!$A:$A,$B54,INPUT_DATA!$C:$C,"S"))</f>
        <v/>
      </c>
      <c r="Z54" s="312" t="str">
        <f>IF($B54=0,"",SUMIFS(INPUT_DATA!Y:Y,INPUT_DATA!$A:$A,$B54,INPUT_DATA!$C:$C,"S"))</f>
        <v/>
      </c>
      <c r="AA54" s="312" t="str">
        <f>IF($B54=0,"",SUMIFS(INPUT_DATA!Z:Z,INPUT_DATA!$A:$A,$B54,INPUT_DATA!$C:$C,"S"))</f>
        <v/>
      </c>
      <c r="AB54" s="312" t="str">
        <f>IF($B54=0,"",SUMIFS(INPUT_DATA!AA:AA,INPUT_DATA!$A:$A,$B54,INPUT_DATA!$C:$C,"S"))</f>
        <v/>
      </c>
      <c r="AC54" s="312" t="str">
        <f>IF($B54=0,"",SUMIFS(INPUT_DATA!AB:AB,INPUT_DATA!$A:$A,$B54,INPUT_DATA!$C:$C,"S"))</f>
        <v/>
      </c>
      <c r="AD54" s="312" t="str">
        <f>IF($B54=0,"",SUMIFS(INPUT_DATA!AC:AC,INPUT_DATA!$A:$A,$B54,INPUT_DATA!$C:$C,"S"))</f>
        <v/>
      </c>
      <c r="AE54" s="312" t="str">
        <f>IF($B54=0,"",SUMIFS(INPUT_DATA!AD:AD,INPUT_DATA!$A:$A,$B54,INPUT_DATA!$C:$C,"S"))</f>
        <v/>
      </c>
      <c r="AF54" s="312" t="str">
        <f>IF($B54=0,"",SUMIFS(INPUT_DATA!AE:AE,INPUT_DATA!$A:$A,$B54,INPUT_DATA!$C:$C,"S"))</f>
        <v/>
      </c>
      <c r="AG54" s="312" t="str">
        <f>IF($B54=0,"",SUMIFS(INPUT_DATA!AF:AF,INPUT_DATA!$A:$A,$B54,INPUT_DATA!$C:$C,"S"))</f>
        <v/>
      </c>
      <c r="AH54" s="312" t="str">
        <f>IF($B54=0,"",SUMIFS(INPUT_DATA!AG:AG,INPUT_DATA!$A:$A,$B54,INPUT_DATA!$C:$C,"S"))</f>
        <v/>
      </c>
      <c r="AI54" s="312" t="str">
        <f>IF($B54=0,"",SUMIFS(INPUT_DATA!AH:AH,INPUT_DATA!$A:$A,$B54,INPUT_DATA!$C:$C,"S"))</f>
        <v/>
      </c>
      <c r="AJ54" s="312" t="str">
        <f>IF($B54=0,"",SUMIFS(INPUT_DATA!AI:AI,INPUT_DATA!$A:$A,$B54,INPUT_DATA!$C:$C,"S"))</f>
        <v/>
      </c>
      <c r="AK54" s="312" t="str">
        <f>IF($B54=0,"",SUMIFS(INPUT_DATA!AJ:AJ,INPUT_DATA!$A:$A,$B54,INPUT_DATA!$C:$C,"S"))</f>
        <v/>
      </c>
      <c r="AL54" s="312" t="str">
        <f>IF($B54=0,"",SUMIFS(INPUT_DATA!AK:AK,INPUT_DATA!$A:$A,$B54,INPUT_DATA!$C:$C,"S"))</f>
        <v/>
      </c>
      <c r="AM54" s="312" t="str">
        <f>IF($B54=0,"",SUMIFS(INPUT_DATA!AL:AL,INPUT_DATA!$A:$A,$B54,INPUT_DATA!$C:$C,"S"))</f>
        <v/>
      </c>
      <c r="AN54" s="312" t="str">
        <f>IF($B54=0,"",SUMIFS(INPUT_DATA!AM:AM,INPUT_DATA!$A:$A,$B54,INPUT_DATA!$C:$C,"S"))</f>
        <v/>
      </c>
      <c r="AO54" s="312" t="str">
        <f>IF($B54=0,"",SUMIFS(INPUT_DATA!AN:AN,INPUT_DATA!$A:$A,$B54,INPUT_DATA!$C:$C,"S"))</f>
        <v/>
      </c>
      <c r="AP54" s="312" t="str">
        <f>IF($B54=0,"",SUMIFS(INPUT_DATA!AO:AO,INPUT_DATA!$A:$A,$B54,INPUT_DATA!$C:$C,"S"))</f>
        <v/>
      </c>
      <c r="AQ54" s="312" t="str">
        <f>IF($B54=0,"",SUMIFS(INPUT_DATA!AP:AP,INPUT_DATA!$A:$A,$B54,INPUT_DATA!$C:$C,"S"))</f>
        <v/>
      </c>
      <c r="AR54" s="312" t="str">
        <f>IF($B54=0,"",SUMIFS(INPUT_DATA!AQ:AQ,INPUT_DATA!$A:$A,$B54,INPUT_DATA!$C:$C,"S"))</f>
        <v/>
      </c>
      <c r="AS54" s="736" t="str">
        <f t="shared" si="29"/>
        <v/>
      </c>
      <c r="AT54" s="737" t="str">
        <f t="shared" si="30"/>
        <v/>
      </c>
      <c r="AU54" s="738" t="str">
        <f t="shared" si="31"/>
        <v/>
      </c>
      <c r="AV54" s="736" t="str">
        <f>IF($B54=0,"",SUMIFS(INPUT_DATA!AR:AR,INPUT_DATA!$A:$A,$B54,INPUT_DATA!$C:$C,"S"))</f>
        <v/>
      </c>
      <c r="AW54" s="737" t="str">
        <f>IF($B54=0,"",SUMIFS(INPUT_DATA!AS:AS,INPUT_DATA!$A:$A,$B54,INPUT_DATA!$C:$C,"S"))</f>
        <v/>
      </c>
      <c r="AX54" s="738" t="str">
        <f>IF($B54=0,"",SUMIFS(INPUT_DATA!AT:AT,INPUT_DATA!$A:$A,$B54,INPUT_DATA!$C:$C,"S"))</f>
        <v/>
      </c>
      <c r="AY54" s="736" t="str">
        <f t="shared" si="15"/>
        <v/>
      </c>
      <c r="AZ54" s="737" t="str">
        <f t="shared" si="16"/>
        <v/>
      </c>
      <c r="BA54" s="738" t="str">
        <f t="shared" si="17"/>
        <v/>
      </c>
      <c r="BB54" s="150"/>
      <c r="BC54" s="725" t="str">
        <f>IF($B54=0,"",SUMIFS(INPUT_DATA!D:D,INPUT_DATA!$A:$A,$B54,INPUT_DATA!$C:$C,"D"))</f>
        <v/>
      </c>
      <c r="BD54" s="311" t="str">
        <f>IF($B54=0,"",SUMIFS(INPUT_DATA!F:F,INPUT_DATA!$A:$A,$B54,INPUT_DATA!$C:$C,"D"))</f>
        <v/>
      </c>
      <c r="BE54" s="311" t="str">
        <f>IF($B54=0,"",SUMIFS(INPUT_DATA!G:G,INPUT_DATA!$A:$A,$B54,INPUT_DATA!$C:$C,"D"))</f>
        <v/>
      </c>
      <c r="BF54" s="311" t="str">
        <f>IF($B54=0,"",SUMIFS(INPUT_DATA!H:H,INPUT_DATA!$A:$A,$B54,INPUT_DATA!$C:$C,"D"))</f>
        <v/>
      </c>
      <c r="BG54" s="311" t="str">
        <f>IF($B54=0,"",SUMIFS(INPUT_DATA!I:I,INPUT_DATA!$A:$A,$B54,INPUT_DATA!$C:$C,"D"))</f>
        <v/>
      </c>
      <c r="BH54" s="311" t="str">
        <f>IF($B54=0,"",SUMIFS(INPUT_DATA!J:J,INPUT_DATA!$A:$A,$B54,INPUT_DATA!$C:$C,"D"))</f>
        <v/>
      </c>
      <c r="BI54" s="311" t="str">
        <f>IF($B54=0,"",SUMIFS(INPUT_DATA!K:K,INPUT_DATA!$A:$A,$B54,INPUT_DATA!$C:$C,"D"))</f>
        <v/>
      </c>
      <c r="BJ54" s="311" t="str">
        <f>IF($B54=0,"",SUMIFS(INPUT_DATA!L:L,INPUT_DATA!$A:$A,$B54,INPUT_DATA!$C:$C,"D"))</f>
        <v/>
      </c>
      <c r="BK54" s="311" t="str">
        <f>IF($B54=0,"",SUMIFS(INPUT_DATA!M:M,INPUT_DATA!$A:$A,$B54,INPUT_DATA!$C:$C,"D"))</f>
        <v/>
      </c>
      <c r="BL54" s="311" t="str">
        <f>IF($B54=0,"",SUMIFS(INPUT_DATA!N:N,INPUT_DATA!$A:$A,$B54,INPUT_DATA!$C:$C,"D"))</f>
        <v/>
      </c>
      <c r="BM54" s="311" t="str">
        <f>IF($B54=0,"",SUMIFS(INPUT_DATA!O:O,INPUT_DATA!$A:$A,$B54,INPUT_DATA!$C:$C,"D"))</f>
        <v/>
      </c>
      <c r="BN54" s="741" t="str">
        <f t="shared" si="18"/>
        <v/>
      </c>
      <c r="BO54" s="741" t="str">
        <f>IF($B54=0,"",SUMIFS(INPUT_DATA!O:O,INPUT_DATA!$A:$A,$B54,INPUT_DATA!$C:$C,"D"))</f>
        <v/>
      </c>
      <c r="BP54" s="741" t="str">
        <f t="shared" si="19"/>
        <v/>
      </c>
      <c r="BQ54" s="725" t="str">
        <f>IF($B54=0,"",SUMIFS(INPUT_DATA!Q:Q,INPUT_DATA!$A:$A,$B54,INPUT_DATA!$C:$C,"D"))</f>
        <v/>
      </c>
      <c r="BR54" s="747" t="str">
        <f>IF($B54=0,"",SUMIFS(INPUT_DATA!R:R,INPUT_DATA!$A:$A,$B54,INPUT_DATA!$C:$C,"D"))</f>
        <v/>
      </c>
      <c r="BS54" s="747" t="str">
        <f>IF($B54=0,"",SUMIFS(INPUT_DATA!S:S,INPUT_DATA!$A:$A,$B54,INPUT_DATA!$C:$C,"D"))</f>
        <v/>
      </c>
      <c r="BT54" s="311" t="str">
        <f>IF($B54=0,"",SUMIFS(INPUT_DATA!T:T,INPUT_DATA!$A:$A,$B54,INPUT_DATA!$C:$C,"D"))</f>
        <v/>
      </c>
      <c r="BU54" s="311" t="str">
        <f>IF($B54=0,"",SUMIFS(INPUT_DATA!U:U,INPUT_DATA!$A:$A,$B54,INPUT_DATA!$C:$C,"D"))</f>
        <v/>
      </c>
      <c r="BV54" s="311" t="str">
        <f>IF($B54=0,"",SUMIFS(INPUT_DATA!V:V,INPUT_DATA!$A:$A,$B54,INPUT_DATA!$C:$C,"D"))</f>
        <v/>
      </c>
      <c r="BW54" s="311" t="str">
        <f>IF($B54=0,"",SUMIFS(INPUT_DATA!W:W,INPUT_DATA!$A:$A,$B54,INPUT_DATA!$C:$C,"D"))</f>
        <v/>
      </c>
      <c r="BX54" s="311" t="str">
        <f>IF($B54=0,"",SUMIFS(INPUT_DATA!X:X,INPUT_DATA!$A:$A,$B54,INPUT_DATA!$C:$C,"D"))</f>
        <v/>
      </c>
      <c r="BY54" s="311" t="str">
        <f>IF($B54=0,"",SUMIFS(INPUT_DATA!Y:Y,INPUT_DATA!$A:$A,$B54,INPUT_DATA!$C:$C,"D"))</f>
        <v/>
      </c>
      <c r="BZ54" s="352" t="str">
        <f>IF($B54=0,"",SUMIFS(INPUT_DATA!Z:Z,INPUT_DATA!$A:$A,$B54,INPUT_DATA!$C:$C,"D"))</f>
        <v/>
      </c>
      <c r="CA54" s="352" t="str">
        <f>IF($B54=0,"",SUMIFS(INPUT_DATA!AA:AA,INPUT_DATA!$A:$A,$B54,INPUT_DATA!$C:$C,"D"))</f>
        <v/>
      </c>
      <c r="CB54" s="352" t="str">
        <f>IF($B54=0,"",SUMIFS(INPUT_DATA!AB:AB,INPUT_DATA!$A:$A,$B54,INPUT_DATA!$C:$C,"D"))</f>
        <v/>
      </c>
      <c r="CC54" s="311" t="str">
        <f>IF($B54=0,"",SUMIFS(INPUT_DATA!AC:AC,INPUT_DATA!$A:$A,$B54,INPUT_DATA!$C:$C,"D"))</f>
        <v/>
      </c>
      <c r="CD54" s="311" t="str">
        <f>IF($B54=0,"",SUMIFS(INPUT_DATA!AD:AD,INPUT_DATA!$A:$A,$B54,INPUT_DATA!$C:$C,"D"))</f>
        <v/>
      </c>
      <c r="CE54" s="311" t="str">
        <f>IF($B54=0,"",SUMIFS(INPUT_DATA!AE:AE,INPUT_DATA!$A:$A,$B54,INPUT_DATA!$C:$C,"D"))</f>
        <v/>
      </c>
      <c r="CF54" s="352" t="str">
        <f>IF($B54=0,"",SUMIFS(INPUT_DATA!AF:AF,INPUT_DATA!$A:$A,$B54,INPUT_DATA!$C:$C,"D"))</f>
        <v/>
      </c>
      <c r="CG54" s="352" t="str">
        <f>IF($B54=0,"",SUMIFS(INPUT_DATA!AG:AG,INPUT_DATA!$A:$A,$B54,INPUT_DATA!$C:$C,"D"))</f>
        <v/>
      </c>
      <c r="CH54" s="352" t="str">
        <f>IF($B54=0,"",SUMIFS(INPUT_DATA!AH:AH,INPUT_DATA!$A:$A,$B54,INPUT_DATA!$C:$C,"D"))</f>
        <v/>
      </c>
      <c r="CI54" s="153" t="str">
        <f>IF($B54=0,"",SUMIFS(INPUT_DATA!AI:AI,INPUT_DATA!$A:$A,$B54,INPUT_DATA!$C:$C,"D"))</f>
        <v/>
      </c>
      <c r="CJ54" s="153" t="str">
        <f>IF($B54=0,"",SUMIFS(INPUT_DATA!AJ:AJ,INPUT_DATA!$A:$A,$B54,INPUT_DATA!$C:$C,"D"))</f>
        <v/>
      </c>
      <c r="CK54" s="153" t="str">
        <f>IF($B54=0,"",SUMIFS(INPUT_DATA!AK:AK,INPUT_DATA!$A:$A,$B54,INPUT_DATA!$C:$C,"D"))</f>
        <v/>
      </c>
      <c r="CL54" s="153" t="str">
        <f>IF($B54=0,"",SUMIFS(INPUT_DATA!AL:AL,INPUT_DATA!$A:$A,$B54,INPUT_DATA!$C:$C,"D"))</f>
        <v/>
      </c>
      <c r="CM54" s="153" t="str">
        <f>IF($B54=0,"",SUMIFS(INPUT_DATA!AM:AM,INPUT_DATA!$A:$A,$B54,INPUT_DATA!$C:$C,"D"))</f>
        <v/>
      </c>
      <c r="CN54" s="153" t="str">
        <f>IF($B54=0,"",SUMIFS(INPUT_DATA!AN:AN,INPUT_DATA!$A:$A,$B54,INPUT_DATA!$C:$C,"D"))</f>
        <v/>
      </c>
      <c r="CO54" s="153" t="str">
        <f>IF($B54=0,"",SUMIFS(INPUT_DATA!AO:AO,INPUT_DATA!$A:$A,$B54,INPUT_DATA!$C:$C,"D"))</f>
        <v/>
      </c>
      <c r="CP54" s="153" t="str">
        <f>IF($B54=0,"",SUMIFS(INPUT_DATA!AP:AP,INPUT_DATA!$A:$A,$B54,INPUT_DATA!$C:$C,"D"))</f>
        <v/>
      </c>
      <c r="CQ54" s="153" t="str">
        <f>IF($B54=0,"",SUMIFS(INPUT_DATA!AQ:AQ,INPUT_DATA!$A:$A,$B54,INPUT_DATA!$C:$C,"D"))</f>
        <v/>
      </c>
      <c r="CR54" s="737" t="str">
        <f t="shared" si="32"/>
        <v/>
      </c>
      <c r="CS54" s="737" t="str">
        <f t="shared" si="33"/>
        <v/>
      </c>
      <c r="CT54" s="737" t="str">
        <f t="shared" si="34"/>
        <v/>
      </c>
      <c r="CU54" s="726" t="str">
        <f>IF($B54=0,"",SUMIFS(INPUT_DATA!AR:AR,INPUT_DATA!$A:$A,$B54,INPUT_DATA!$C:$C,"D"))</f>
        <v/>
      </c>
      <c r="CV54" s="726" t="str">
        <f>IF($B54=0,"",SUMIFS(INPUT_DATA!AS:AS,INPUT_DATA!$A:$A,$B54,INPUT_DATA!$C:$C,"D"))</f>
        <v/>
      </c>
      <c r="CW54" s="726" t="str">
        <f>IF($B54=0,"",SUMIFS(INPUT_DATA!AT:AT,INPUT_DATA!$A:$A,$B54,INPUT_DATA!$C:$C,"D"))</f>
        <v/>
      </c>
      <c r="CX54" s="726" t="str">
        <f t="shared" si="35"/>
        <v/>
      </c>
      <c r="CY54" s="737" t="str">
        <f t="shared" si="36"/>
        <v/>
      </c>
      <c r="CZ54" s="748" t="str">
        <f t="shared" si="37"/>
        <v/>
      </c>
      <c r="DA54" s="150"/>
    </row>
    <row r="55" spans="1:105" x14ac:dyDescent="0.2">
      <c r="A55" s="172">
        <f t="shared" si="40"/>
        <v>-8</v>
      </c>
      <c r="B55" s="720">
        <f>INPUT_DATA!BQ42</f>
        <v>0</v>
      </c>
      <c r="C55" s="725" t="str">
        <f>IF($B55=0,"",SUMIFS(INPUT_DATA!D:D,INPUT_DATA!$A:$A,$B55,INPUT_DATA!$C:$C,"S"))</f>
        <v/>
      </c>
      <c r="D55" s="726" t="str">
        <f>IF($B55=0,"",SUMIFS(INPUT_DATA!E:E,INPUT_DATA!$A:$A,$B55,INPUT_DATA!$C:$C,"S"))</f>
        <v/>
      </c>
      <c r="E55" s="727" t="str">
        <f>IF($B55=0,"",SUMIFS(INPUT_DATA!F:F,INPUT_DATA!$A:$A,$B55,INPUT_DATA!$C:$C,"S"))</f>
        <v/>
      </c>
      <c r="F55" s="727" t="str">
        <f>IF($B55=0,"",SUMIFS(INPUT_DATA!G:G,INPUT_DATA!$A:$A,$B55,INPUT_DATA!$C:$C,"S"))</f>
        <v/>
      </c>
      <c r="G55" s="727" t="str">
        <f>IF($B55=0,"",SUMIFS(INPUT_DATA!H:H,INPUT_DATA!$A:$A,$B55,INPUT_DATA!$C:$C,"S"))</f>
        <v/>
      </c>
      <c r="H55" s="727" t="str">
        <f>IF($B55=0,"",SUMIFS(INPUT_DATA!I:I,INPUT_DATA!$A:$A,$B55,INPUT_DATA!$C:$C,"S"))</f>
        <v/>
      </c>
      <c r="I55" s="727" t="str">
        <f>IF($B55=0,"",SUMIFS(INPUT_DATA!J:J,INPUT_DATA!$A:$A,$B55,INPUT_DATA!$C:$C,"S"))</f>
        <v/>
      </c>
      <c r="J55" s="727" t="str">
        <f>IF($B55=0,"",SUMIFS(INPUT_DATA!K:K,INPUT_DATA!$A:$A,$B55,INPUT_DATA!$C:$C,"S"))</f>
        <v/>
      </c>
      <c r="K55" s="727" t="str">
        <f>IF($B55=0,"",SUMIFS(INPUT_DATA!L:L,INPUT_DATA!$A:$A,$B55,INPUT_DATA!$C:$C,"S"))</f>
        <v/>
      </c>
      <c r="L55" s="727" t="str">
        <f>IF($B55=0,"",SUMIFS(INPUT_DATA!M:M,INPUT_DATA!$A:$A,$B55,INPUT_DATA!$C:$C,"S"))</f>
        <v/>
      </c>
      <c r="M55" s="727" t="str">
        <f>IF($B55=0,"",SUMIFS(INPUT_DATA!N:N,INPUT_DATA!$A:$A,$B55,INPUT_DATA!$C:$C,"S"))</f>
        <v/>
      </c>
      <c r="N55" s="727" t="str">
        <f>IF($B55=0,"",SUMIFS(INPUT_DATA!O:O,INPUT_DATA!$A:$A,$B55,INPUT_DATA!$C:$C,"S"))</f>
        <v/>
      </c>
      <c r="O55" s="728" t="str">
        <f t="shared" si="38"/>
        <v/>
      </c>
      <c r="P55" s="729" t="str">
        <f>IF($B55=0,"",SUMIFS(INPUT_DATA!P:P,INPUT_DATA!$A:$A,$B55,INPUT_DATA!$C:$C,"S"))</f>
        <v/>
      </c>
      <c r="Q55" s="729" t="str">
        <f t="shared" si="39"/>
        <v/>
      </c>
      <c r="R55" s="735" t="str">
        <f>IF($B55=0,"",SUMIFS(INPUT_DATA!Q:Q,INPUT_DATA!$A:$A,$B55,INPUT_DATA!$C:$C,"S"))</f>
        <v/>
      </c>
      <c r="S55" s="735" t="str">
        <f>IF($B55=0,"",SUMIFS(INPUT_DATA!R:R,INPUT_DATA!$A:$A,$B55,INPUT_DATA!$C:$C,"S"))</f>
        <v/>
      </c>
      <c r="T55" s="735" t="str">
        <f>IF($B55=0,"",SUMIFS(INPUT_DATA!S:S,INPUT_DATA!$A:$A,$B55,INPUT_DATA!$C:$C,"S"))</f>
        <v/>
      </c>
      <c r="U55" s="312" t="str">
        <f>IF($B55=0,"",SUMIFS(INPUT_DATA!T:T,INPUT_DATA!$A:$A,$B55,INPUT_DATA!$C:$C,"S"))</f>
        <v/>
      </c>
      <c r="V55" s="312" t="str">
        <f>IF($B55=0,"",SUMIFS(INPUT_DATA!U:U,INPUT_DATA!$A:$A,$B55,INPUT_DATA!$C:$C,"S"))</f>
        <v/>
      </c>
      <c r="W55" s="312" t="str">
        <f>IF($B55=0,"",SUMIFS(INPUT_DATA!V:V,INPUT_DATA!$A:$A,$B55,INPUT_DATA!$C:$C,"S"))</f>
        <v/>
      </c>
      <c r="X55" s="312" t="str">
        <f>IF($B55=0,"",SUMIFS(INPUT_DATA!W:W,INPUT_DATA!$A:$A,$B55,INPUT_DATA!$C:$C,"S"))</f>
        <v/>
      </c>
      <c r="Y55" s="312" t="str">
        <f>IF($B55=0,"",SUMIFS(INPUT_DATA!X:X,INPUT_DATA!$A:$A,$B55,INPUT_DATA!$C:$C,"S"))</f>
        <v/>
      </c>
      <c r="Z55" s="312" t="str">
        <f>IF($B55=0,"",SUMIFS(INPUT_DATA!Y:Y,INPUT_DATA!$A:$A,$B55,INPUT_DATA!$C:$C,"S"))</f>
        <v/>
      </c>
      <c r="AA55" s="312" t="str">
        <f>IF($B55=0,"",SUMIFS(INPUT_DATA!Z:Z,INPUT_DATA!$A:$A,$B55,INPUT_DATA!$C:$C,"S"))</f>
        <v/>
      </c>
      <c r="AB55" s="312" t="str">
        <f>IF($B55=0,"",SUMIFS(INPUT_DATA!AA:AA,INPUT_DATA!$A:$A,$B55,INPUT_DATA!$C:$C,"S"))</f>
        <v/>
      </c>
      <c r="AC55" s="312" t="str">
        <f>IF($B55=0,"",SUMIFS(INPUT_DATA!AB:AB,INPUT_DATA!$A:$A,$B55,INPUT_DATA!$C:$C,"S"))</f>
        <v/>
      </c>
      <c r="AD55" s="312" t="str">
        <f>IF($B55=0,"",SUMIFS(INPUT_DATA!AC:AC,INPUT_DATA!$A:$A,$B55,INPUT_DATA!$C:$C,"S"))</f>
        <v/>
      </c>
      <c r="AE55" s="312" t="str">
        <f>IF($B55=0,"",SUMIFS(INPUT_DATA!AD:AD,INPUT_DATA!$A:$A,$B55,INPUT_DATA!$C:$C,"S"))</f>
        <v/>
      </c>
      <c r="AF55" s="312" t="str">
        <f>IF($B55=0,"",SUMIFS(INPUT_DATA!AE:AE,INPUT_DATA!$A:$A,$B55,INPUT_DATA!$C:$C,"S"))</f>
        <v/>
      </c>
      <c r="AG55" s="312" t="str">
        <f>IF($B55=0,"",SUMIFS(INPUT_DATA!AF:AF,INPUT_DATA!$A:$A,$B55,INPUT_DATA!$C:$C,"S"))</f>
        <v/>
      </c>
      <c r="AH55" s="312" t="str">
        <f>IF($B55=0,"",SUMIFS(INPUT_DATA!AG:AG,INPUT_DATA!$A:$A,$B55,INPUT_DATA!$C:$C,"S"))</f>
        <v/>
      </c>
      <c r="AI55" s="312" t="str">
        <f>IF($B55=0,"",SUMIFS(INPUT_DATA!AH:AH,INPUT_DATA!$A:$A,$B55,INPUT_DATA!$C:$C,"S"))</f>
        <v/>
      </c>
      <c r="AJ55" s="312" t="str">
        <f>IF($B55=0,"",SUMIFS(INPUT_DATA!AI:AI,INPUT_DATA!$A:$A,$B55,INPUT_DATA!$C:$C,"S"))</f>
        <v/>
      </c>
      <c r="AK55" s="312" t="str">
        <f>IF($B55=0,"",SUMIFS(INPUT_DATA!AJ:AJ,INPUT_DATA!$A:$A,$B55,INPUT_DATA!$C:$C,"S"))</f>
        <v/>
      </c>
      <c r="AL55" s="312" t="str">
        <f>IF($B55=0,"",SUMIFS(INPUT_DATA!AK:AK,INPUT_DATA!$A:$A,$B55,INPUT_DATA!$C:$C,"S"))</f>
        <v/>
      </c>
      <c r="AM55" s="312" t="str">
        <f>IF($B55=0,"",SUMIFS(INPUT_DATA!AL:AL,INPUT_DATA!$A:$A,$B55,INPUT_DATA!$C:$C,"S"))</f>
        <v/>
      </c>
      <c r="AN55" s="312" t="str">
        <f>IF($B55=0,"",SUMIFS(INPUT_DATA!AM:AM,INPUT_DATA!$A:$A,$B55,INPUT_DATA!$C:$C,"S"))</f>
        <v/>
      </c>
      <c r="AO55" s="312" t="str">
        <f>IF($B55=0,"",SUMIFS(INPUT_DATA!AN:AN,INPUT_DATA!$A:$A,$B55,INPUT_DATA!$C:$C,"S"))</f>
        <v/>
      </c>
      <c r="AP55" s="312" t="str">
        <f>IF($B55=0,"",SUMIFS(INPUT_DATA!AO:AO,INPUT_DATA!$A:$A,$B55,INPUT_DATA!$C:$C,"S"))</f>
        <v/>
      </c>
      <c r="AQ55" s="312" t="str">
        <f>IF($B55=0,"",SUMIFS(INPUT_DATA!AP:AP,INPUT_DATA!$A:$A,$B55,INPUT_DATA!$C:$C,"S"))</f>
        <v/>
      </c>
      <c r="AR55" s="312" t="str">
        <f>IF($B55=0,"",SUMIFS(INPUT_DATA!AQ:AQ,INPUT_DATA!$A:$A,$B55,INPUT_DATA!$C:$C,"S"))</f>
        <v/>
      </c>
      <c r="AS55" s="736" t="str">
        <f t="shared" si="29"/>
        <v/>
      </c>
      <c r="AT55" s="737" t="str">
        <f t="shared" si="30"/>
        <v/>
      </c>
      <c r="AU55" s="738" t="str">
        <f t="shared" si="31"/>
        <v/>
      </c>
      <c r="AV55" s="736" t="str">
        <f>IF($B55=0,"",SUMIFS(INPUT_DATA!AR:AR,INPUT_DATA!$A:$A,$B55,INPUT_DATA!$C:$C,"S"))</f>
        <v/>
      </c>
      <c r="AW55" s="737" t="str">
        <f>IF($B55=0,"",SUMIFS(INPUT_DATA!AS:AS,INPUT_DATA!$A:$A,$B55,INPUT_DATA!$C:$C,"S"))</f>
        <v/>
      </c>
      <c r="AX55" s="738" t="str">
        <f>IF($B55=0,"",SUMIFS(INPUT_DATA!AT:AT,INPUT_DATA!$A:$A,$B55,INPUT_DATA!$C:$C,"S"))</f>
        <v/>
      </c>
      <c r="AY55" s="736" t="str">
        <f t="shared" si="15"/>
        <v/>
      </c>
      <c r="AZ55" s="737" t="str">
        <f t="shared" si="16"/>
        <v/>
      </c>
      <c r="BA55" s="738" t="str">
        <f t="shared" si="17"/>
        <v/>
      </c>
      <c r="BB55" s="150"/>
      <c r="BC55" s="725" t="str">
        <f>IF($B55=0,"",SUMIFS(INPUT_DATA!D:D,INPUT_DATA!$A:$A,$B55,INPUT_DATA!$C:$C,"D"))</f>
        <v/>
      </c>
      <c r="BD55" s="311" t="str">
        <f>IF($B55=0,"",SUMIFS(INPUT_DATA!F:F,INPUT_DATA!$A:$A,$B55,INPUT_DATA!$C:$C,"D"))</f>
        <v/>
      </c>
      <c r="BE55" s="311" t="str">
        <f>IF($B55=0,"",SUMIFS(INPUT_DATA!G:G,INPUT_DATA!$A:$A,$B55,INPUT_DATA!$C:$C,"D"))</f>
        <v/>
      </c>
      <c r="BF55" s="311" t="str">
        <f>IF($B55=0,"",SUMIFS(INPUT_DATA!H:H,INPUT_DATA!$A:$A,$B55,INPUT_DATA!$C:$C,"D"))</f>
        <v/>
      </c>
      <c r="BG55" s="311" t="str">
        <f>IF($B55=0,"",SUMIFS(INPUT_DATA!I:I,INPUT_DATA!$A:$A,$B55,INPUT_DATA!$C:$C,"D"))</f>
        <v/>
      </c>
      <c r="BH55" s="311" t="str">
        <f>IF($B55=0,"",SUMIFS(INPUT_DATA!J:J,INPUT_DATA!$A:$A,$B55,INPUT_DATA!$C:$C,"D"))</f>
        <v/>
      </c>
      <c r="BI55" s="311" t="str">
        <f>IF($B55=0,"",SUMIFS(INPUT_DATA!K:K,INPUT_DATA!$A:$A,$B55,INPUT_DATA!$C:$C,"D"))</f>
        <v/>
      </c>
      <c r="BJ55" s="311" t="str">
        <f>IF($B55=0,"",SUMIFS(INPUT_DATA!L:L,INPUT_DATA!$A:$A,$B55,INPUT_DATA!$C:$C,"D"))</f>
        <v/>
      </c>
      <c r="BK55" s="311" t="str">
        <f>IF($B55=0,"",SUMIFS(INPUT_DATA!M:M,INPUT_DATA!$A:$A,$B55,INPUT_DATA!$C:$C,"D"))</f>
        <v/>
      </c>
      <c r="BL55" s="311" t="str">
        <f>IF($B55=0,"",SUMIFS(INPUT_DATA!N:N,INPUT_DATA!$A:$A,$B55,INPUT_DATA!$C:$C,"D"))</f>
        <v/>
      </c>
      <c r="BM55" s="311" t="str">
        <f>IF($B55=0,"",SUMIFS(INPUT_DATA!O:O,INPUT_DATA!$A:$A,$B55,INPUT_DATA!$C:$C,"D"))</f>
        <v/>
      </c>
      <c r="BN55" s="741" t="str">
        <f t="shared" si="18"/>
        <v/>
      </c>
      <c r="BO55" s="741" t="str">
        <f>IF($B55=0,"",SUMIFS(INPUT_DATA!O:O,INPUT_DATA!$A:$A,$B55,INPUT_DATA!$C:$C,"D"))</f>
        <v/>
      </c>
      <c r="BP55" s="741" t="str">
        <f t="shared" si="19"/>
        <v/>
      </c>
      <c r="BQ55" s="725" t="str">
        <f>IF($B55=0,"",SUMIFS(INPUT_DATA!Q:Q,INPUT_DATA!$A:$A,$B55,INPUT_DATA!$C:$C,"D"))</f>
        <v/>
      </c>
      <c r="BR55" s="747" t="str">
        <f>IF($B55=0,"",SUMIFS(INPUT_DATA!R:R,INPUT_DATA!$A:$A,$B55,INPUT_DATA!$C:$C,"D"))</f>
        <v/>
      </c>
      <c r="BS55" s="747" t="str">
        <f>IF($B55=0,"",SUMIFS(INPUT_DATA!S:S,INPUT_DATA!$A:$A,$B55,INPUT_DATA!$C:$C,"D"))</f>
        <v/>
      </c>
      <c r="BT55" s="311" t="str">
        <f>IF($B55=0,"",SUMIFS(INPUT_DATA!T:T,INPUT_DATA!$A:$A,$B55,INPUT_DATA!$C:$C,"D"))</f>
        <v/>
      </c>
      <c r="BU55" s="311" t="str">
        <f>IF($B55=0,"",SUMIFS(INPUT_DATA!U:U,INPUT_DATA!$A:$A,$B55,INPUT_DATA!$C:$C,"D"))</f>
        <v/>
      </c>
      <c r="BV55" s="311" t="str">
        <f>IF($B55=0,"",SUMIFS(INPUT_DATA!V:V,INPUT_DATA!$A:$A,$B55,INPUT_DATA!$C:$C,"D"))</f>
        <v/>
      </c>
      <c r="BW55" s="311" t="str">
        <f>IF($B55=0,"",SUMIFS(INPUT_DATA!W:W,INPUT_DATA!$A:$A,$B55,INPUT_DATA!$C:$C,"D"))</f>
        <v/>
      </c>
      <c r="BX55" s="311" t="str">
        <f>IF($B55=0,"",SUMIFS(INPUT_DATA!X:X,INPUT_DATA!$A:$A,$B55,INPUT_DATA!$C:$C,"D"))</f>
        <v/>
      </c>
      <c r="BY55" s="311" t="str">
        <f>IF($B55=0,"",SUMIFS(INPUT_DATA!Y:Y,INPUT_DATA!$A:$A,$B55,INPUT_DATA!$C:$C,"D"))</f>
        <v/>
      </c>
      <c r="BZ55" s="352" t="str">
        <f>IF($B55=0,"",SUMIFS(INPUT_DATA!Z:Z,INPUT_DATA!$A:$A,$B55,INPUT_DATA!$C:$C,"D"))</f>
        <v/>
      </c>
      <c r="CA55" s="352" t="str">
        <f>IF($B55=0,"",SUMIFS(INPUT_DATA!AA:AA,INPUT_DATA!$A:$A,$B55,INPUT_DATA!$C:$C,"D"))</f>
        <v/>
      </c>
      <c r="CB55" s="352" t="str">
        <f>IF($B55=0,"",SUMIFS(INPUT_DATA!AB:AB,INPUT_DATA!$A:$A,$B55,INPUT_DATA!$C:$C,"D"))</f>
        <v/>
      </c>
      <c r="CC55" s="311" t="str">
        <f>IF($B55=0,"",SUMIFS(INPUT_DATA!AC:AC,INPUT_DATA!$A:$A,$B55,INPUT_DATA!$C:$C,"D"))</f>
        <v/>
      </c>
      <c r="CD55" s="311" t="str">
        <f>IF($B55=0,"",SUMIFS(INPUT_DATA!AD:AD,INPUT_DATA!$A:$A,$B55,INPUT_DATA!$C:$C,"D"))</f>
        <v/>
      </c>
      <c r="CE55" s="311" t="str">
        <f>IF($B55=0,"",SUMIFS(INPUT_DATA!AE:AE,INPUT_DATA!$A:$A,$B55,INPUT_DATA!$C:$C,"D"))</f>
        <v/>
      </c>
      <c r="CF55" s="352" t="str">
        <f>IF($B55=0,"",SUMIFS(INPUT_DATA!AF:AF,INPUT_DATA!$A:$A,$B55,INPUT_DATA!$C:$C,"D"))</f>
        <v/>
      </c>
      <c r="CG55" s="352" t="str">
        <f>IF($B55=0,"",SUMIFS(INPUT_DATA!AG:AG,INPUT_DATA!$A:$A,$B55,INPUT_DATA!$C:$C,"D"))</f>
        <v/>
      </c>
      <c r="CH55" s="352" t="str">
        <f>IF($B55=0,"",SUMIFS(INPUT_DATA!AH:AH,INPUT_DATA!$A:$A,$B55,INPUT_DATA!$C:$C,"D"))</f>
        <v/>
      </c>
      <c r="CI55" s="153" t="str">
        <f>IF($B55=0,"",SUMIFS(INPUT_DATA!AI:AI,INPUT_DATA!$A:$A,$B55,INPUT_DATA!$C:$C,"D"))</f>
        <v/>
      </c>
      <c r="CJ55" s="153" t="str">
        <f>IF($B55=0,"",SUMIFS(INPUT_DATA!AJ:AJ,INPUT_DATA!$A:$A,$B55,INPUT_DATA!$C:$C,"D"))</f>
        <v/>
      </c>
      <c r="CK55" s="153" t="str">
        <f>IF($B55=0,"",SUMIFS(INPUT_DATA!AK:AK,INPUT_DATA!$A:$A,$B55,INPUT_DATA!$C:$C,"D"))</f>
        <v/>
      </c>
      <c r="CL55" s="153" t="str">
        <f>IF($B55=0,"",SUMIFS(INPUT_DATA!AL:AL,INPUT_DATA!$A:$A,$B55,INPUT_DATA!$C:$C,"D"))</f>
        <v/>
      </c>
      <c r="CM55" s="153" t="str">
        <f>IF($B55=0,"",SUMIFS(INPUT_DATA!AM:AM,INPUT_DATA!$A:$A,$B55,INPUT_DATA!$C:$C,"D"))</f>
        <v/>
      </c>
      <c r="CN55" s="153" t="str">
        <f>IF($B55=0,"",SUMIFS(INPUT_DATA!AN:AN,INPUT_DATA!$A:$A,$B55,INPUT_DATA!$C:$C,"D"))</f>
        <v/>
      </c>
      <c r="CO55" s="153" t="str">
        <f>IF($B55=0,"",SUMIFS(INPUT_DATA!AO:AO,INPUT_DATA!$A:$A,$B55,INPUT_DATA!$C:$C,"D"))</f>
        <v/>
      </c>
      <c r="CP55" s="153" t="str">
        <f>IF($B55=0,"",SUMIFS(INPUT_DATA!AP:AP,INPUT_DATA!$A:$A,$B55,INPUT_DATA!$C:$C,"D"))</f>
        <v/>
      </c>
      <c r="CQ55" s="153" t="str">
        <f>IF($B55=0,"",SUMIFS(INPUT_DATA!AQ:AQ,INPUT_DATA!$A:$A,$B55,INPUT_DATA!$C:$C,"D"))</f>
        <v/>
      </c>
      <c r="CR55" s="737" t="str">
        <f t="shared" si="32"/>
        <v/>
      </c>
      <c r="CS55" s="737" t="str">
        <f t="shared" si="33"/>
        <v/>
      </c>
      <c r="CT55" s="737" t="str">
        <f t="shared" si="34"/>
        <v/>
      </c>
      <c r="CU55" s="726" t="str">
        <f>IF($B55=0,"",SUMIFS(INPUT_DATA!AR:AR,INPUT_DATA!$A:$A,$B55,INPUT_DATA!$C:$C,"D"))</f>
        <v/>
      </c>
      <c r="CV55" s="726" t="str">
        <f>IF($B55=0,"",SUMIFS(INPUT_DATA!AS:AS,INPUT_DATA!$A:$A,$B55,INPUT_DATA!$C:$C,"D"))</f>
        <v/>
      </c>
      <c r="CW55" s="726" t="str">
        <f>IF($B55=0,"",SUMIFS(INPUT_DATA!AT:AT,INPUT_DATA!$A:$A,$B55,INPUT_DATA!$C:$C,"D"))</f>
        <v/>
      </c>
      <c r="CX55" s="726" t="str">
        <f t="shared" si="35"/>
        <v/>
      </c>
      <c r="CY55" s="737" t="str">
        <f t="shared" si="36"/>
        <v/>
      </c>
      <c r="CZ55" s="748" t="str">
        <f t="shared" si="37"/>
        <v/>
      </c>
      <c r="DA55" s="150"/>
    </row>
    <row r="56" spans="1:105" x14ac:dyDescent="0.2">
      <c r="A56" s="172">
        <f t="shared" si="40"/>
        <v>-9</v>
      </c>
      <c r="B56" s="720">
        <f>INPUT_DATA!BQ43</f>
        <v>0</v>
      </c>
      <c r="C56" s="725" t="str">
        <f>IF($B56=0,"",SUMIFS(INPUT_DATA!D:D,INPUT_DATA!$A:$A,$B56,INPUT_DATA!$C:$C,"S"))</f>
        <v/>
      </c>
      <c r="D56" s="726" t="str">
        <f>IF($B56=0,"",SUMIFS(INPUT_DATA!E:E,INPUT_DATA!$A:$A,$B56,INPUT_DATA!$C:$C,"S"))</f>
        <v/>
      </c>
      <c r="E56" s="727" t="str">
        <f>IF($B56=0,"",SUMIFS(INPUT_DATA!F:F,INPUT_DATA!$A:$A,$B56,INPUT_DATA!$C:$C,"S"))</f>
        <v/>
      </c>
      <c r="F56" s="727" t="str">
        <f>IF($B56=0,"",SUMIFS(INPUT_DATA!G:G,INPUT_DATA!$A:$A,$B56,INPUT_DATA!$C:$C,"S"))</f>
        <v/>
      </c>
      <c r="G56" s="727" t="str">
        <f>IF($B56=0,"",SUMIFS(INPUT_DATA!H:H,INPUT_DATA!$A:$A,$B56,INPUT_DATA!$C:$C,"S"))</f>
        <v/>
      </c>
      <c r="H56" s="727" t="str">
        <f>IF($B56=0,"",SUMIFS(INPUT_DATA!I:I,INPUT_DATA!$A:$A,$B56,INPUT_DATA!$C:$C,"S"))</f>
        <v/>
      </c>
      <c r="I56" s="727" t="str">
        <f>IF($B56=0,"",SUMIFS(INPUT_DATA!J:J,INPUT_DATA!$A:$A,$B56,INPUT_DATA!$C:$C,"S"))</f>
        <v/>
      </c>
      <c r="J56" s="727" t="str">
        <f>IF($B56=0,"",SUMIFS(INPUT_DATA!K:K,INPUT_DATA!$A:$A,$B56,INPUT_DATA!$C:$C,"S"))</f>
        <v/>
      </c>
      <c r="K56" s="727" t="str">
        <f>IF($B56=0,"",SUMIFS(INPUT_DATA!L:L,INPUT_DATA!$A:$A,$B56,INPUT_DATA!$C:$C,"S"))</f>
        <v/>
      </c>
      <c r="L56" s="727" t="str">
        <f>IF($B56=0,"",SUMIFS(INPUT_DATA!M:M,INPUT_DATA!$A:$A,$B56,INPUT_DATA!$C:$C,"S"))</f>
        <v/>
      </c>
      <c r="M56" s="727" t="str">
        <f>IF($B56=0,"",SUMIFS(INPUT_DATA!N:N,INPUT_DATA!$A:$A,$B56,INPUT_DATA!$C:$C,"S"))</f>
        <v/>
      </c>
      <c r="N56" s="727" t="str">
        <f>IF($B56=0,"",SUMIFS(INPUT_DATA!O:O,INPUT_DATA!$A:$A,$B56,INPUT_DATA!$C:$C,"S"))</f>
        <v/>
      </c>
      <c r="O56" s="728" t="str">
        <f t="shared" si="38"/>
        <v/>
      </c>
      <c r="P56" s="729" t="str">
        <f>IF($B56=0,"",SUMIFS(INPUT_DATA!P:P,INPUT_DATA!$A:$A,$B56,INPUT_DATA!$C:$C,"S"))</f>
        <v/>
      </c>
      <c r="Q56" s="729" t="str">
        <f t="shared" si="39"/>
        <v/>
      </c>
      <c r="R56" s="735" t="str">
        <f>IF($B56=0,"",SUMIFS(INPUT_DATA!Q:Q,INPUT_DATA!$A:$A,$B56,INPUT_DATA!$C:$C,"S"))</f>
        <v/>
      </c>
      <c r="S56" s="735" t="str">
        <f>IF($B56=0,"",SUMIFS(INPUT_DATA!R:R,INPUT_DATA!$A:$A,$B56,INPUT_DATA!$C:$C,"S"))</f>
        <v/>
      </c>
      <c r="T56" s="735" t="str">
        <f>IF($B56=0,"",SUMIFS(INPUT_DATA!S:S,INPUT_DATA!$A:$A,$B56,INPUT_DATA!$C:$C,"S"))</f>
        <v/>
      </c>
      <c r="U56" s="312" t="str">
        <f>IF($B56=0,"",SUMIFS(INPUT_DATA!T:T,INPUT_DATA!$A:$A,$B56,INPUT_DATA!$C:$C,"S"))</f>
        <v/>
      </c>
      <c r="V56" s="312" t="str">
        <f>IF($B56=0,"",SUMIFS(INPUT_DATA!U:U,INPUT_DATA!$A:$A,$B56,INPUT_DATA!$C:$C,"S"))</f>
        <v/>
      </c>
      <c r="W56" s="312" t="str">
        <f>IF($B56=0,"",SUMIFS(INPUT_DATA!V:V,INPUT_DATA!$A:$A,$B56,INPUT_DATA!$C:$C,"S"))</f>
        <v/>
      </c>
      <c r="X56" s="312" t="str">
        <f>IF($B56=0,"",SUMIFS(INPUT_DATA!W:W,INPUT_DATA!$A:$A,$B56,INPUT_DATA!$C:$C,"S"))</f>
        <v/>
      </c>
      <c r="Y56" s="312" t="str">
        <f>IF($B56=0,"",SUMIFS(INPUT_DATA!X:X,INPUT_DATA!$A:$A,$B56,INPUT_DATA!$C:$C,"S"))</f>
        <v/>
      </c>
      <c r="Z56" s="312" t="str">
        <f>IF($B56=0,"",SUMIFS(INPUT_DATA!Y:Y,INPUT_DATA!$A:$A,$B56,INPUT_DATA!$C:$C,"S"))</f>
        <v/>
      </c>
      <c r="AA56" s="312" t="str">
        <f>IF($B56=0,"",SUMIFS(INPUT_DATA!Z:Z,INPUT_DATA!$A:$A,$B56,INPUT_DATA!$C:$C,"S"))</f>
        <v/>
      </c>
      <c r="AB56" s="312" t="str">
        <f>IF($B56=0,"",SUMIFS(INPUT_DATA!AA:AA,INPUT_DATA!$A:$A,$B56,INPUT_DATA!$C:$C,"S"))</f>
        <v/>
      </c>
      <c r="AC56" s="312" t="str">
        <f>IF($B56=0,"",SUMIFS(INPUT_DATA!AB:AB,INPUT_DATA!$A:$A,$B56,INPUT_DATA!$C:$C,"S"))</f>
        <v/>
      </c>
      <c r="AD56" s="312" t="str">
        <f>IF($B56=0,"",SUMIFS(INPUT_DATA!AC:AC,INPUT_DATA!$A:$A,$B56,INPUT_DATA!$C:$C,"S"))</f>
        <v/>
      </c>
      <c r="AE56" s="312" t="str">
        <f>IF($B56=0,"",SUMIFS(INPUT_DATA!AD:AD,INPUT_DATA!$A:$A,$B56,INPUT_DATA!$C:$C,"S"))</f>
        <v/>
      </c>
      <c r="AF56" s="312" t="str">
        <f>IF($B56=0,"",SUMIFS(INPUT_DATA!AE:AE,INPUT_DATA!$A:$A,$B56,INPUT_DATA!$C:$C,"S"))</f>
        <v/>
      </c>
      <c r="AG56" s="312" t="str">
        <f>IF($B56=0,"",SUMIFS(INPUT_DATA!AF:AF,INPUT_DATA!$A:$A,$B56,INPUT_DATA!$C:$C,"S"))</f>
        <v/>
      </c>
      <c r="AH56" s="312" t="str">
        <f>IF($B56=0,"",SUMIFS(INPUT_DATA!AG:AG,INPUT_DATA!$A:$A,$B56,INPUT_DATA!$C:$C,"S"))</f>
        <v/>
      </c>
      <c r="AI56" s="312" t="str">
        <f>IF($B56=0,"",SUMIFS(INPUT_DATA!AH:AH,INPUT_DATA!$A:$A,$B56,INPUT_DATA!$C:$C,"S"))</f>
        <v/>
      </c>
      <c r="AJ56" s="312" t="str">
        <f>IF($B56=0,"",SUMIFS(INPUT_DATA!AI:AI,INPUT_DATA!$A:$A,$B56,INPUT_DATA!$C:$C,"S"))</f>
        <v/>
      </c>
      <c r="AK56" s="312" t="str">
        <f>IF($B56=0,"",SUMIFS(INPUT_DATA!AJ:AJ,INPUT_DATA!$A:$A,$B56,INPUT_DATA!$C:$C,"S"))</f>
        <v/>
      </c>
      <c r="AL56" s="312" t="str">
        <f>IF($B56=0,"",SUMIFS(INPUT_DATA!AK:AK,INPUT_DATA!$A:$A,$B56,INPUT_DATA!$C:$C,"S"))</f>
        <v/>
      </c>
      <c r="AM56" s="312" t="str">
        <f>IF($B56=0,"",SUMIFS(INPUT_DATA!AL:AL,INPUT_DATA!$A:$A,$B56,INPUT_DATA!$C:$C,"S"))</f>
        <v/>
      </c>
      <c r="AN56" s="312" t="str">
        <f>IF($B56=0,"",SUMIFS(INPUT_DATA!AM:AM,INPUT_DATA!$A:$A,$B56,INPUT_DATA!$C:$C,"S"))</f>
        <v/>
      </c>
      <c r="AO56" s="312" t="str">
        <f>IF($B56=0,"",SUMIFS(INPUT_DATA!AN:AN,INPUT_DATA!$A:$A,$B56,INPUT_DATA!$C:$C,"S"))</f>
        <v/>
      </c>
      <c r="AP56" s="312" t="str">
        <f>IF($B56=0,"",SUMIFS(INPUT_DATA!AO:AO,INPUT_DATA!$A:$A,$B56,INPUT_DATA!$C:$C,"S"))</f>
        <v/>
      </c>
      <c r="AQ56" s="312" t="str">
        <f>IF($B56=0,"",SUMIFS(INPUT_DATA!AP:AP,INPUT_DATA!$A:$A,$B56,INPUT_DATA!$C:$C,"S"))</f>
        <v/>
      </c>
      <c r="AR56" s="312" t="str">
        <f>IF($B56=0,"",SUMIFS(INPUT_DATA!AQ:AQ,INPUT_DATA!$A:$A,$B56,INPUT_DATA!$C:$C,"S"))</f>
        <v/>
      </c>
      <c r="AS56" s="736" t="str">
        <f t="shared" si="29"/>
        <v/>
      </c>
      <c r="AT56" s="737" t="str">
        <f t="shared" si="30"/>
        <v/>
      </c>
      <c r="AU56" s="738" t="str">
        <f t="shared" si="31"/>
        <v/>
      </c>
      <c r="AV56" s="736" t="str">
        <f>IF($B56=0,"",SUMIFS(INPUT_DATA!AR:AR,INPUT_DATA!$A:$A,$B56,INPUT_DATA!$C:$C,"S"))</f>
        <v/>
      </c>
      <c r="AW56" s="737" t="str">
        <f>IF($B56=0,"",SUMIFS(INPUT_DATA!AS:AS,INPUT_DATA!$A:$A,$B56,INPUT_DATA!$C:$C,"S"))</f>
        <v/>
      </c>
      <c r="AX56" s="738" t="str">
        <f>IF($B56=0,"",SUMIFS(INPUT_DATA!AT:AT,INPUT_DATA!$A:$A,$B56,INPUT_DATA!$C:$C,"S"))</f>
        <v/>
      </c>
      <c r="AY56" s="736" t="str">
        <f t="shared" si="15"/>
        <v/>
      </c>
      <c r="AZ56" s="737" t="str">
        <f t="shared" si="16"/>
        <v/>
      </c>
      <c r="BA56" s="738" t="str">
        <f t="shared" si="17"/>
        <v/>
      </c>
      <c r="BB56" s="150"/>
      <c r="BC56" s="725" t="str">
        <f>IF($B56=0,"",SUMIFS(INPUT_DATA!D:D,INPUT_DATA!$A:$A,$B56,INPUT_DATA!$C:$C,"D"))</f>
        <v/>
      </c>
      <c r="BD56" s="311" t="str">
        <f>IF($B56=0,"",SUMIFS(INPUT_DATA!F:F,INPUT_DATA!$A:$A,$B56,INPUT_DATA!$C:$C,"D"))</f>
        <v/>
      </c>
      <c r="BE56" s="311" t="str">
        <f>IF($B56=0,"",SUMIFS(INPUT_DATA!G:G,INPUT_DATA!$A:$A,$B56,INPUT_DATA!$C:$C,"D"))</f>
        <v/>
      </c>
      <c r="BF56" s="311" t="str">
        <f>IF($B56=0,"",SUMIFS(INPUT_DATA!H:H,INPUT_DATA!$A:$A,$B56,INPUT_DATA!$C:$C,"D"))</f>
        <v/>
      </c>
      <c r="BG56" s="311" t="str">
        <f>IF($B56=0,"",SUMIFS(INPUT_DATA!I:I,INPUT_DATA!$A:$A,$B56,INPUT_DATA!$C:$C,"D"))</f>
        <v/>
      </c>
      <c r="BH56" s="311" t="str">
        <f>IF($B56=0,"",SUMIFS(INPUT_DATA!J:J,INPUT_DATA!$A:$A,$B56,INPUT_DATA!$C:$C,"D"))</f>
        <v/>
      </c>
      <c r="BI56" s="311" t="str">
        <f>IF($B56=0,"",SUMIFS(INPUT_DATA!K:K,INPUT_DATA!$A:$A,$B56,INPUT_DATA!$C:$C,"D"))</f>
        <v/>
      </c>
      <c r="BJ56" s="311" t="str">
        <f>IF($B56=0,"",SUMIFS(INPUT_DATA!L:L,INPUT_DATA!$A:$A,$B56,INPUT_DATA!$C:$C,"D"))</f>
        <v/>
      </c>
      <c r="BK56" s="311" t="str">
        <f>IF($B56=0,"",SUMIFS(INPUT_DATA!M:M,INPUT_DATA!$A:$A,$B56,INPUT_DATA!$C:$C,"D"))</f>
        <v/>
      </c>
      <c r="BL56" s="311" t="str">
        <f>IF($B56=0,"",SUMIFS(INPUT_DATA!N:N,INPUT_DATA!$A:$A,$B56,INPUT_DATA!$C:$C,"D"))</f>
        <v/>
      </c>
      <c r="BM56" s="311" t="str">
        <f>IF($B56=0,"",SUMIFS(INPUT_DATA!O:O,INPUT_DATA!$A:$A,$B56,INPUT_DATA!$C:$C,"D"))</f>
        <v/>
      </c>
      <c r="BN56" s="741" t="str">
        <f t="shared" si="18"/>
        <v/>
      </c>
      <c r="BO56" s="741" t="str">
        <f>IF($B56=0,"",SUMIFS(INPUT_DATA!O:O,INPUT_DATA!$A:$A,$B56,INPUT_DATA!$C:$C,"D"))</f>
        <v/>
      </c>
      <c r="BP56" s="741" t="str">
        <f t="shared" si="19"/>
        <v/>
      </c>
      <c r="BQ56" s="725" t="str">
        <f>IF($B56=0,"",SUMIFS(INPUT_DATA!Q:Q,INPUT_DATA!$A:$A,$B56,INPUT_DATA!$C:$C,"D"))</f>
        <v/>
      </c>
      <c r="BR56" s="747" t="str">
        <f>IF($B56=0,"",SUMIFS(INPUT_DATA!R:R,INPUT_DATA!$A:$A,$B56,INPUT_DATA!$C:$C,"D"))</f>
        <v/>
      </c>
      <c r="BS56" s="747" t="str">
        <f>IF($B56=0,"",SUMIFS(INPUT_DATA!S:S,INPUT_DATA!$A:$A,$B56,INPUT_DATA!$C:$C,"D"))</f>
        <v/>
      </c>
      <c r="BT56" s="311" t="str">
        <f>IF($B56=0,"",SUMIFS(INPUT_DATA!T:T,INPUT_DATA!$A:$A,$B56,INPUT_DATA!$C:$C,"D"))</f>
        <v/>
      </c>
      <c r="BU56" s="311" t="str">
        <f>IF($B56=0,"",SUMIFS(INPUT_DATA!U:U,INPUT_DATA!$A:$A,$B56,INPUT_DATA!$C:$C,"D"))</f>
        <v/>
      </c>
      <c r="BV56" s="311" t="str">
        <f>IF($B56=0,"",SUMIFS(INPUT_DATA!V:V,INPUT_DATA!$A:$A,$B56,INPUT_DATA!$C:$C,"D"))</f>
        <v/>
      </c>
      <c r="BW56" s="311" t="str">
        <f>IF($B56=0,"",SUMIFS(INPUT_DATA!W:W,INPUT_DATA!$A:$A,$B56,INPUT_DATA!$C:$C,"D"))</f>
        <v/>
      </c>
      <c r="BX56" s="311" t="str">
        <f>IF($B56=0,"",SUMIFS(INPUT_DATA!X:X,INPUT_DATA!$A:$A,$B56,INPUT_DATA!$C:$C,"D"))</f>
        <v/>
      </c>
      <c r="BY56" s="311" t="str">
        <f>IF($B56=0,"",SUMIFS(INPUT_DATA!Y:Y,INPUT_DATA!$A:$A,$B56,INPUT_DATA!$C:$C,"D"))</f>
        <v/>
      </c>
      <c r="BZ56" s="352" t="str">
        <f>IF($B56=0,"",SUMIFS(INPUT_DATA!Z:Z,INPUT_DATA!$A:$A,$B56,INPUT_DATA!$C:$C,"D"))</f>
        <v/>
      </c>
      <c r="CA56" s="352" t="str">
        <f>IF($B56=0,"",SUMIFS(INPUT_DATA!AA:AA,INPUT_DATA!$A:$A,$B56,INPUT_DATA!$C:$C,"D"))</f>
        <v/>
      </c>
      <c r="CB56" s="352" t="str">
        <f>IF($B56=0,"",SUMIFS(INPUT_DATA!AB:AB,INPUT_DATA!$A:$A,$B56,INPUT_DATA!$C:$C,"D"))</f>
        <v/>
      </c>
      <c r="CC56" s="311" t="str">
        <f>IF($B56=0,"",SUMIFS(INPUT_DATA!AC:AC,INPUT_DATA!$A:$A,$B56,INPUT_DATA!$C:$C,"D"))</f>
        <v/>
      </c>
      <c r="CD56" s="311" t="str">
        <f>IF($B56=0,"",SUMIFS(INPUT_DATA!AD:AD,INPUT_DATA!$A:$A,$B56,INPUT_DATA!$C:$C,"D"))</f>
        <v/>
      </c>
      <c r="CE56" s="311" t="str">
        <f>IF($B56=0,"",SUMIFS(INPUT_DATA!AE:AE,INPUT_DATA!$A:$A,$B56,INPUT_DATA!$C:$C,"D"))</f>
        <v/>
      </c>
      <c r="CF56" s="352" t="str">
        <f>IF($B56=0,"",SUMIFS(INPUT_DATA!AF:AF,INPUT_DATA!$A:$A,$B56,INPUT_DATA!$C:$C,"D"))</f>
        <v/>
      </c>
      <c r="CG56" s="352" t="str">
        <f>IF($B56=0,"",SUMIFS(INPUT_DATA!AG:AG,INPUT_DATA!$A:$A,$B56,INPUT_DATA!$C:$C,"D"))</f>
        <v/>
      </c>
      <c r="CH56" s="352" t="str">
        <f>IF($B56=0,"",SUMIFS(INPUT_DATA!AH:AH,INPUT_DATA!$A:$A,$B56,INPUT_DATA!$C:$C,"D"))</f>
        <v/>
      </c>
      <c r="CI56" s="153" t="str">
        <f>IF($B56=0,"",SUMIFS(INPUT_DATA!AI:AI,INPUT_DATA!$A:$A,$B56,INPUT_DATA!$C:$C,"D"))</f>
        <v/>
      </c>
      <c r="CJ56" s="153" t="str">
        <f>IF($B56=0,"",SUMIFS(INPUT_DATA!AJ:AJ,INPUT_DATA!$A:$A,$B56,INPUT_DATA!$C:$C,"D"))</f>
        <v/>
      </c>
      <c r="CK56" s="153" t="str">
        <f>IF($B56=0,"",SUMIFS(INPUT_DATA!AK:AK,INPUT_DATA!$A:$A,$B56,INPUT_DATA!$C:$C,"D"))</f>
        <v/>
      </c>
      <c r="CL56" s="153" t="str">
        <f>IF($B56=0,"",SUMIFS(INPUT_DATA!AL:AL,INPUT_DATA!$A:$A,$B56,INPUT_DATA!$C:$C,"D"))</f>
        <v/>
      </c>
      <c r="CM56" s="153" t="str">
        <f>IF($B56=0,"",SUMIFS(INPUT_DATA!AM:AM,INPUT_DATA!$A:$A,$B56,INPUT_DATA!$C:$C,"D"))</f>
        <v/>
      </c>
      <c r="CN56" s="153" t="str">
        <f>IF($B56=0,"",SUMIFS(INPUT_DATA!AN:AN,INPUT_DATA!$A:$A,$B56,INPUT_DATA!$C:$C,"D"))</f>
        <v/>
      </c>
      <c r="CO56" s="153" t="str">
        <f>IF($B56=0,"",SUMIFS(INPUT_DATA!AO:AO,INPUT_DATA!$A:$A,$B56,INPUT_DATA!$C:$C,"D"))</f>
        <v/>
      </c>
      <c r="CP56" s="153" t="str">
        <f>IF($B56=0,"",SUMIFS(INPUT_DATA!AP:AP,INPUT_DATA!$A:$A,$B56,INPUT_DATA!$C:$C,"D"))</f>
        <v/>
      </c>
      <c r="CQ56" s="153" t="str">
        <f>IF($B56=0,"",SUMIFS(INPUT_DATA!AQ:AQ,INPUT_DATA!$A:$A,$B56,INPUT_DATA!$C:$C,"D"))</f>
        <v/>
      </c>
      <c r="CR56" s="737" t="str">
        <f t="shared" si="32"/>
        <v/>
      </c>
      <c r="CS56" s="737" t="str">
        <f t="shared" si="33"/>
        <v/>
      </c>
      <c r="CT56" s="737" t="str">
        <f t="shared" si="34"/>
        <v/>
      </c>
      <c r="CU56" s="726" t="str">
        <f>IF($B56=0,"",SUMIFS(INPUT_DATA!AR:AR,INPUT_DATA!$A:$A,$B56,INPUT_DATA!$C:$C,"D"))</f>
        <v/>
      </c>
      <c r="CV56" s="726" t="str">
        <f>IF($B56=0,"",SUMIFS(INPUT_DATA!AS:AS,INPUT_DATA!$A:$A,$B56,INPUT_DATA!$C:$C,"D"))</f>
        <v/>
      </c>
      <c r="CW56" s="726" t="str">
        <f>IF($B56=0,"",SUMIFS(INPUT_DATA!AT:AT,INPUT_DATA!$A:$A,$B56,INPUT_DATA!$C:$C,"D"))</f>
        <v/>
      </c>
      <c r="CX56" s="726" t="str">
        <f t="shared" si="35"/>
        <v/>
      </c>
      <c r="CY56" s="737" t="str">
        <f t="shared" si="36"/>
        <v/>
      </c>
      <c r="CZ56" s="748" t="str">
        <f t="shared" si="37"/>
        <v/>
      </c>
      <c r="DA56" s="150"/>
    </row>
    <row r="57" spans="1:105" x14ac:dyDescent="0.2">
      <c r="A57" s="172">
        <f t="shared" si="40"/>
        <v>-10</v>
      </c>
      <c r="B57" s="720">
        <f>INPUT_DATA!BQ44</f>
        <v>0</v>
      </c>
      <c r="C57" s="725" t="str">
        <f>IF($B57=0,"",SUMIFS(INPUT_DATA!D:D,INPUT_DATA!$A:$A,$B57,INPUT_DATA!$C:$C,"S"))</f>
        <v/>
      </c>
      <c r="D57" s="726" t="str">
        <f>IF($B57=0,"",SUMIFS(INPUT_DATA!E:E,INPUT_DATA!$A:$A,$B57,INPUT_DATA!$C:$C,"S"))</f>
        <v/>
      </c>
      <c r="E57" s="727" t="str">
        <f>IF($B57=0,"",SUMIFS(INPUT_DATA!F:F,INPUT_DATA!$A:$A,$B57,INPUT_DATA!$C:$C,"S"))</f>
        <v/>
      </c>
      <c r="F57" s="727" t="str">
        <f>IF($B57=0,"",SUMIFS(INPUT_DATA!G:G,INPUT_DATA!$A:$A,$B57,INPUT_DATA!$C:$C,"S"))</f>
        <v/>
      </c>
      <c r="G57" s="727" t="str">
        <f>IF($B57=0,"",SUMIFS(INPUT_DATA!H:H,INPUT_DATA!$A:$A,$B57,INPUT_DATA!$C:$C,"S"))</f>
        <v/>
      </c>
      <c r="H57" s="727" t="str">
        <f>IF($B57=0,"",SUMIFS(INPUT_DATA!I:I,INPUT_DATA!$A:$A,$B57,INPUT_DATA!$C:$C,"S"))</f>
        <v/>
      </c>
      <c r="I57" s="727" t="str">
        <f>IF($B57=0,"",SUMIFS(INPUT_DATA!J:J,INPUT_DATA!$A:$A,$B57,INPUT_DATA!$C:$C,"S"))</f>
        <v/>
      </c>
      <c r="J57" s="727" t="str">
        <f>IF($B57=0,"",SUMIFS(INPUT_DATA!K:K,INPUT_DATA!$A:$A,$B57,INPUT_DATA!$C:$C,"S"))</f>
        <v/>
      </c>
      <c r="K57" s="727" t="str">
        <f>IF($B57=0,"",SUMIFS(INPUT_DATA!L:L,INPUT_DATA!$A:$A,$B57,INPUT_DATA!$C:$C,"S"))</f>
        <v/>
      </c>
      <c r="L57" s="727" t="str">
        <f>IF($B57=0,"",SUMIFS(INPUT_DATA!M:M,INPUT_DATA!$A:$A,$B57,INPUT_DATA!$C:$C,"S"))</f>
        <v/>
      </c>
      <c r="M57" s="727" t="str">
        <f>IF($B57=0,"",SUMIFS(INPUT_DATA!N:N,INPUT_DATA!$A:$A,$B57,INPUT_DATA!$C:$C,"S"))</f>
        <v/>
      </c>
      <c r="N57" s="727" t="str">
        <f>IF($B57=0,"",SUMIFS(INPUT_DATA!O:O,INPUT_DATA!$A:$A,$B57,INPUT_DATA!$C:$C,"S"))</f>
        <v/>
      </c>
      <c r="O57" s="728" t="str">
        <f t="shared" si="38"/>
        <v/>
      </c>
      <c r="P57" s="729" t="str">
        <f>IF($B57=0,"",SUMIFS(INPUT_DATA!P:P,INPUT_DATA!$A:$A,$B57,INPUT_DATA!$C:$C,"S"))</f>
        <v/>
      </c>
      <c r="Q57" s="729" t="str">
        <f t="shared" si="39"/>
        <v/>
      </c>
      <c r="R57" s="735" t="str">
        <f>IF($B57=0,"",SUMIFS(INPUT_DATA!Q:Q,INPUT_DATA!$A:$A,$B57,INPUT_DATA!$C:$C,"S"))</f>
        <v/>
      </c>
      <c r="S57" s="735" t="str">
        <f>IF($B57=0,"",SUMIFS(INPUT_DATA!R:R,INPUT_DATA!$A:$A,$B57,INPUT_DATA!$C:$C,"S"))</f>
        <v/>
      </c>
      <c r="T57" s="735" t="str">
        <f>IF($B57=0,"",SUMIFS(INPUT_DATA!S:S,INPUT_DATA!$A:$A,$B57,INPUT_DATA!$C:$C,"S"))</f>
        <v/>
      </c>
      <c r="U57" s="312" t="str">
        <f>IF($B57=0,"",SUMIFS(INPUT_DATA!T:T,INPUT_DATA!$A:$A,$B57,INPUT_DATA!$C:$C,"S"))</f>
        <v/>
      </c>
      <c r="V57" s="312" t="str">
        <f>IF($B57=0,"",SUMIFS(INPUT_DATA!U:U,INPUT_DATA!$A:$A,$B57,INPUT_DATA!$C:$C,"S"))</f>
        <v/>
      </c>
      <c r="W57" s="312" t="str">
        <f>IF($B57=0,"",SUMIFS(INPUT_DATA!V:V,INPUT_DATA!$A:$A,$B57,INPUT_DATA!$C:$C,"S"))</f>
        <v/>
      </c>
      <c r="X57" s="312" t="str">
        <f>IF($B57=0,"",SUMIFS(INPUT_DATA!W:W,INPUT_DATA!$A:$A,$B57,INPUT_DATA!$C:$C,"S"))</f>
        <v/>
      </c>
      <c r="Y57" s="312" t="str">
        <f>IF($B57=0,"",SUMIFS(INPUT_DATA!X:X,INPUT_DATA!$A:$A,$B57,INPUT_DATA!$C:$C,"S"))</f>
        <v/>
      </c>
      <c r="Z57" s="312" t="str">
        <f>IF($B57=0,"",SUMIFS(INPUT_DATA!Y:Y,INPUT_DATA!$A:$A,$B57,INPUT_DATA!$C:$C,"S"))</f>
        <v/>
      </c>
      <c r="AA57" s="312" t="str">
        <f>IF($B57=0,"",SUMIFS(INPUT_DATA!Z:Z,INPUT_DATA!$A:$A,$B57,INPUT_DATA!$C:$C,"S"))</f>
        <v/>
      </c>
      <c r="AB57" s="312" t="str">
        <f>IF($B57=0,"",SUMIFS(INPUT_DATA!AA:AA,INPUT_DATA!$A:$A,$B57,INPUT_DATA!$C:$C,"S"))</f>
        <v/>
      </c>
      <c r="AC57" s="312" t="str">
        <f>IF($B57=0,"",SUMIFS(INPUT_DATA!AB:AB,INPUT_DATA!$A:$A,$B57,INPUT_DATA!$C:$C,"S"))</f>
        <v/>
      </c>
      <c r="AD57" s="312" t="str">
        <f>IF($B57=0,"",SUMIFS(INPUT_DATA!AC:AC,INPUT_DATA!$A:$A,$B57,INPUT_DATA!$C:$C,"S"))</f>
        <v/>
      </c>
      <c r="AE57" s="312" t="str">
        <f>IF($B57=0,"",SUMIFS(INPUT_DATA!AD:AD,INPUT_DATA!$A:$A,$B57,INPUT_DATA!$C:$C,"S"))</f>
        <v/>
      </c>
      <c r="AF57" s="312" t="str">
        <f>IF($B57=0,"",SUMIFS(INPUT_DATA!AE:AE,INPUT_DATA!$A:$A,$B57,INPUT_DATA!$C:$C,"S"))</f>
        <v/>
      </c>
      <c r="AG57" s="312" t="str">
        <f>IF($B57=0,"",SUMIFS(INPUT_DATA!AF:AF,INPUT_DATA!$A:$A,$B57,INPUT_DATA!$C:$C,"S"))</f>
        <v/>
      </c>
      <c r="AH57" s="312" t="str">
        <f>IF($B57=0,"",SUMIFS(INPUT_DATA!AG:AG,INPUT_DATA!$A:$A,$B57,INPUT_DATA!$C:$C,"S"))</f>
        <v/>
      </c>
      <c r="AI57" s="312" t="str">
        <f>IF($B57=0,"",SUMIFS(INPUT_DATA!AH:AH,INPUT_DATA!$A:$A,$B57,INPUT_DATA!$C:$C,"S"))</f>
        <v/>
      </c>
      <c r="AJ57" s="312" t="str">
        <f>IF($B57=0,"",SUMIFS(INPUT_DATA!AI:AI,INPUT_DATA!$A:$A,$B57,INPUT_DATA!$C:$C,"S"))</f>
        <v/>
      </c>
      <c r="AK57" s="312" t="str">
        <f>IF($B57=0,"",SUMIFS(INPUT_DATA!AJ:AJ,INPUT_DATA!$A:$A,$B57,INPUT_DATA!$C:$C,"S"))</f>
        <v/>
      </c>
      <c r="AL57" s="312" t="str">
        <f>IF($B57=0,"",SUMIFS(INPUT_DATA!AK:AK,INPUT_DATA!$A:$A,$B57,INPUT_DATA!$C:$C,"S"))</f>
        <v/>
      </c>
      <c r="AM57" s="312" t="str">
        <f>IF($B57=0,"",SUMIFS(INPUT_DATA!AL:AL,INPUT_DATA!$A:$A,$B57,INPUT_DATA!$C:$C,"S"))</f>
        <v/>
      </c>
      <c r="AN57" s="312" t="str">
        <f>IF($B57=0,"",SUMIFS(INPUT_DATA!AM:AM,INPUT_DATA!$A:$A,$B57,INPUT_DATA!$C:$C,"S"))</f>
        <v/>
      </c>
      <c r="AO57" s="312" t="str">
        <f>IF($B57=0,"",SUMIFS(INPUT_DATA!AN:AN,INPUT_DATA!$A:$A,$B57,INPUT_DATA!$C:$C,"S"))</f>
        <v/>
      </c>
      <c r="AP57" s="312" t="str">
        <f>IF($B57=0,"",SUMIFS(INPUT_DATA!AO:AO,INPUT_DATA!$A:$A,$B57,INPUT_DATA!$C:$C,"S"))</f>
        <v/>
      </c>
      <c r="AQ57" s="312" t="str">
        <f>IF($B57=0,"",SUMIFS(INPUT_DATA!AP:AP,INPUT_DATA!$A:$A,$B57,INPUT_DATA!$C:$C,"S"))</f>
        <v/>
      </c>
      <c r="AR57" s="312" t="str">
        <f>IF($B57=0,"",SUMIFS(INPUT_DATA!AQ:AQ,INPUT_DATA!$A:$A,$B57,INPUT_DATA!$C:$C,"S"))</f>
        <v/>
      </c>
      <c r="AS57" s="736" t="str">
        <f t="shared" si="29"/>
        <v/>
      </c>
      <c r="AT57" s="737" t="str">
        <f t="shared" si="30"/>
        <v/>
      </c>
      <c r="AU57" s="738" t="str">
        <f t="shared" si="31"/>
        <v/>
      </c>
      <c r="AV57" s="736" t="str">
        <f>IF($B57=0,"",SUMIFS(INPUT_DATA!AR:AR,INPUT_DATA!$A:$A,$B57,INPUT_DATA!$C:$C,"S"))</f>
        <v/>
      </c>
      <c r="AW57" s="737" t="str">
        <f>IF($B57=0,"",SUMIFS(INPUT_DATA!AS:AS,INPUT_DATA!$A:$A,$B57,INPUT_DATA!$C:$C,"S"))</f>
        <v/>
      </c>
      <c r="AX57" s="738" t="str">
        <f>IF($B57=0,"",SUMIFS(INPUT_DATA!AT:AT,INPUT_DATA!$A:$A,$B57,INPUT_DATA!$C:$C,"S"))</f>
        <v/>
      </c>
      <c r="AY57" s="736" t="str">
        <f t="shared" si="15"/>
        <v/>
      </c>
      <c r="AZ57" s="737" t="str">
        <f t="shared" si="16"/>
        <v/>
      </c>
      <c r="BA57" s="738" t="str">
        <f t="shared" si="17"/>
        <v/>
      </c>
      <c r="BB57" s="150"/>
      <c r="BC57" s="725" t="str">
        <f>IF($B57=0,"",SUMIFS(INPUT_DATA!D:D,INPUT_DATA!$A:$A,$B57,INPUT_DATA!$C:$C,"D"))</f>
        <v/>
      </c>
      <c r="BD57" s="311" t="str">
        <f>IF($B57=0,"",SUMIFS(INPUT_DATA!F:F,INPUT_DATA!$A:$A,$B57,INPUT_DATA!$C:$C,"D"))</f>
        <v/>
      </c>
      <c r="BE57" s="311" t="str">
        <f>IF($B57=0,"",SUMIFS(INPUT_DATA!G:G,INPUT_DATA!$A:$A,$B57,INPUT_DATA!$C:$C,"D"))</f>
        <v/>
      </c>
      <c r="BF57" s="311" t="str">
        <f>IF($B57=0,"",SUMIFS(INPUT_DATA!H:H,INPUT_DATA!$A:$A,$B57,INPUT_DATA!$C:$C,"D"))</f>
        <v/>
      </c>
      <c r="BG57" s="311" t="str">
        <f>IF($B57=0,"",SUMIFS(INPUT_DATA!I:I,INPUT_DATA!$A:$A,$B57,INPUT_DATA!$C:$C,"D"))</f>
        <v/>
      </c>
      <c r="BH57" s="311" t="str">
        <f>IF($B57=0,"",SUMIFS(INPUT_DATA!J:J,INPUT_DATA!$A:$A,$B57,INPUT_DATA!$C:$C,"D"))</f>
        <v/>
      </c>
      <c r="BI57" s="311" t="str">
        <f>IF($B57=0,"",SUMIFS(INPUT_DATA!K:K,INPUT_DATA!$A:$A,$B57,INPUT_DATA!$C:$C,"D"))</f>
        <v/>
      </c>
      <c r="BJ57" s="311" t="str">
        <f>IF($B57=0,"",SUMIFS(INPUT_DATA!L:L,INPUT_DATA!$A:$A,$B57,INPUT_DATA!$C:$C,"D"))</f>
        <v/>
      </c>
      <c r="BK57" s="311" t="str">
        <f>IF($B57=0,"",SUMIFS(INPUT_DATA!M:M,INPUT_DATA!$A:$A,$B57,INPUT_DATA!$C:$C,"D"))</f>
        <v/>
      </c>
      <c r="BL57" s="311" t="str">
        <f>IF($B57=0,"",SUMIFS(INPUT_DATA!N:N,INPUT_DATA!$A:$A,$B57,INPUT_DATA!$C:$C,"D"))</f>
        <v/>
      </c>
      <c r="BM57" s="311" t="str">
        <f>IF($B57=0,"",SUMIFS(INPUT_DATA!O:O,INPUT_DATA!$A:$A,$B57,INPUT_DATA!$C:$C,"D"))</f>
        <v/>
      </c>
      <c r="BN57" s="741" t="str">
        <f t="shared" si="18"/>
        <v/>
      </c>
      <c r="BO57" s="741" t="str">
        <f>IF($B57=0,"",SUMIFS(INPUT_DATA!O:O,INPUT_DATA!$A:$A,$B57,INPUT_DATA!$C:$C,"D"))</f>
        <v/>
      </c>
      <c r="BP57" s="741" t="str">
        <f t="shared" si="19"/>
        <v/>
      </c>
      <c r="BQ57" s="725" t="str">
        <f>IF($B57=0,"",SUMIFS(INPUT_DATA!Q:Q,INPUT_DATA!$A:$A,$B57,INPUT_DATA!$C:$C,"D"))</f>
        <v/>
      </c>
      <c r="BR57" s="747" t="str">
        <f>IF($B57=0,"",SUMIFS(INPUT_DATA!R:R,INPUT_DATA!$A:$A,$B57,INPUT_DATA!$C:$C,"D"))</f>
        <v/>
      </c>
      <c r="BS57" s="747" t="str">
        <f>IF($B57=0,"",SUMIFS(INPUT_DATA!S:S,INPUT_DATA!$A:$A,$B57,INPUT_DATA!$C:$C,"D"))</f>
        <v/>
      </c>
      <c r="BT57" s="311" t="str">
        <f>IF($B57=0,"",SUMIFS(INPUT_DATA!T:T,INPUT_DATA!$A:$A,$B57,INPUT_DATA!$C:$C,"D"))</f>
        <v/>
      </c>
      <c r="BU57" s="311" t="str">
        <f>IF($B57=0,"",SUMIFS(INPUT_DATA!U:U,INPUT_DATA!$A:$A,$B57,INPUT_DATA!$C:$C,"D"))</f>
        <v/>
      </c>
      <c r="BV57" s="311" t="str">
        <f>IF($B57=0,"",SUMIFS(INPUT_DATA!V:V,INPUT_DATA!$A:$A,$B57,INPUT_DATA!$C:$C,"D"))</f>
        <v/>
      </c>
      <c r="BW57" s="311" t="str">
        <f>IF($B57=0,"",SUMIFS(INPUT_DATA!W:W,INPUT_DATA!$A:$A,$B57,INPUT_DATA!$C:$C,"D"))</f>
        <v/>
      </c>
      <c r="BX57" s="311" t="str">
        <f>IF($B57=0,"",SUMIFS(INPUT_DATA!X:X,INPUT_DATA!$A:$A,$B57,INPUT_DATA!$C:$C,"D"))</f>
        <v/>
      </c>
      <c r="BY57" s="311" t="str">
        <f>IF($B57=0,"",SUMIFS(INPUT_DATA!Y:Y,INPUT_DATA!$A:$A,$B57,INPUT_DATA!$C:$C,"D"))</f>
        <v/>
      </c>
      <c r="BZ57" s="352" t="str">
        <f>IF($B57=0,"",SUMIFS(INPUT_DATA!Z:Z,INPUT_DATA!$A:$A,$B57,INPUT_DATA!$C:$C,"D"))</f>
        <v/>
      </c>
      <c r="CA57" s="352" t="str">
        <f>IF($B57=0,"",SUMIFS(INPUT_DATA!AA:AA,INPUT_DATA!$A:$A,$B57,INPUT_DATA!$C:$C,"D"))</f>
        <v/>
      </c>
      <c r="CB57" s="352" t="str">
        <f>IF($B57=0,"",SUMIFS(INPUT_DATA!AB:AB,INPUT_DATA!$A:$A,$B57,INPUT_DATA!$C:$C,"D"))</f>
        <v/>
      </c>
      <c r="CC57" s="311" t="str">
        <f>IF($B57=0,"",SUMIFS(INPUT_DATA!AC:AC,INPUT_DATA!$A:$A,$B57,INPUT_DATA!$C:$C,"D"))</f>
        <v/>
      </c>
      <c r="CD57" s="311" t="str">
        <f>IF($B57=0,"",SUMIFS(INPUT_DATA!AD:AD,INPUT_DATA!$A:$A,$B57,INPUT_DATA!$C:$C,"D"))</f>
        <v/>
      </c>
      <c r="CE57" s="311" t="str">
        <f>IF($B57=0,"",SUMIFS(INPUT_DATA!AE:AE,INPUT_DATA!$A:$A,$B57,INPUT_DATA!$C:$C,"D"))</f>
        <v/>
      </c>
      <c r="CF57" s="352" t="str">
        <f>IF($B57=0,"",SUMIFS(INPUT_DATA!AF:AF,INPUT_DATA!$A:$A,$B57,INPUT_DATA!$C:$C,"D"))</f>
        <v/>
      </c>
      <c r="CG57" s="352" t="str">
        <f>IF($B57=0,"",SUMIFS(INPUT_DATA!AG:AG,INPUT_DATA!$A:$A,$B57,INPUT_DATA!$C:$C,"D"))</f>
        <v/>
      </c>
      <c r="CH57" s="352" t="str">
        <f>IF($B57=0,"",SUMIFS(INPUT_DATA!AH:AH,INPUT_DATA!$A:$A,$B57,INPUT_DATA!$C:$C,"D"))</f>
        <v/>
      </c>
      <c r="CI57" s="153" t="str">
        <f>IF($B57=0,"",SUMIFS(INPUT_DATA!AI:AI,INPUT_DATA!$A:$A,$B57,INPUT_DATA!$C:$C,"D"))</f>
        <v/>
      </c>
      <c r="CJ57" s="153" t="str">
        <f>IF($B57=0,"",SUMIFS(INPUT_DATA!AJ:AJ,INPUT_DATA!$A:$A,$B57,INPUT_DATA!$C:$C,"D"))</f>
        <v/>
      </c>
      <c r="CK57" s="153" t="str">
        <f>IF($B57=0,"",SUMIFS(INPUT_DATA!AK:AK,INPUT_DATA!$A:$A,$B57,INPUT_DATA!$C:$C,"D"))</f>
        <v/>
      </c>
      <c r="CL57" s="153" t="str">
        <f>IF($B57=0,"",SUMIFS(INPUT_DATA!AL:AL,INPUT_DATA!$A:$A,$B57,INPUT_DATA!$C:$C,"D"))</f>
        <v/>
      </c>
      <c r="CM57" s="153" t="str">
        <f>IF($B57=0,"",SUMIFS(INPUT_DATA!AM:AM,INPUT_DATA!$A:$A,$B57,INPUT_DATA!$C:$C,"D"))</f>
        <v/>
      </c>
      <c r="CN57" s="153" t="str">
        <f>IF($B57=0,"",SUMIFS(INPUT_DATA!AN:AN,INPUT_DATA!$A:$A,$B57,INPUT_DATA!$C:$C,"D"))</f>
        <v/>
      </c>
      <c r="CO57" s="153" t="str">
        <f>IF($B57=0,"",SUMIFS(INPUT_DATA!AO:AO,INPUT_DATA!$A:$A,$B57,INPUT_DATA!$C:$C,"D"))</f>
        <v/>
      </c>
      <c r="CP57" s="153" t="str">
        <f>IF($B57=0,"",SUMIFS(INPUT_DATA!AP:AP,INPUT_DATA!$A:$A,$B57,INPUT_DATA!$C:$C,"D"))</f>
        <v/>
      </c>
      <c r="CQ57" s="153" t="str">
        <f>IF($B57=0,"",SUMIFS(INPUT_DATA!AQ:AQ,INPUT_DATA!$A:$A,$B57,INPUT_DATA!$C:$C,"D"))</f>
        <v/>
      </c>
      <c r="CR57" s="737" t="str">
        <f t="shared" si="32"/>
        <v/>
      </c>
      <c r="CS57" s="737" t="str">
        <f t="shared" si="33"/>
        <v/>
      </c>
      <c r="CT57" s="737" t="str">
        <f t="shared" si="34"/>
        <v/>
      </c>
      <c r="CU57" s="726" t="str">
        <f>IF($B57=0,"",SUMIFS(INPUT_DATA!AR:AR,INPUT_DATA!$A:$A,$B57,INPUT_DATA!$C:$C,"D"))</f>
        <v/>
      </c>
      <c r="CV57" s="726" t="str">
        <f>IF($B57=0,"",SUMIFS(INPUT_DATA!AS:AS,INPUT_DATA!$A:$A,$B57,INPUT_DATA!$C:$C,"D"))</f>
        <v/>
      </c>
      <c r="CW57" s="726" t="str">
        <f>IF($B57=0,"",SUMIFS(INPUT_DATA!AT:AT,INPUT_DATA!$A:$A,$B57,INPUT_DATA!$C:$C,"D"))</f>
        <v/>
      </c>
      <c r="CX57" s="726" t="str">
        <f t="shared" si="35"/>
        <v/>
      </c>
      <c r="CY57" s="737" t="str">
        <f t="shared" si="36"/>
        <v/>
      </c>
      <c r="CZ57" s="748" t="str">
        <f t="shared" si="37"/>
        <v/>
      </c>
      <c r="DA57" s="150"/>
    </row>
    <row r="58" spans="1:105" x14ac:dyDescent="0.2">
      <c r="A58" s="172">
        <f t="shared" si="40"/>
        <v>-11</v>
      </c>
      <c r="B58" s="720">
        <f>INPUT_DATA!BQ45</f>
        <v>0</v>
      </c>
      <c r="C58" s="725" t="str">
        <f>IF($B58=0,"",SUMIFS(INPUT_DATA!D:D,INPUT_DATA!$A:$A,$B58,INPUT_DATA!$C:$C,"S"))</f>
        <v/>
      </c>
      <c r="D58" s="726" t="str">
        <f>IF($B58=0,"",SUMIFS(INPUT_DATA!E:E,INPUT_DATA!$A:$A,$B58,INPUT_DATA!$C:$C,"S"))</f>
        <v/>
      </c>
      <c r="E58" s="727" t="str">
        <f>IF($B58=0,"",SUMIFS(INPUT_DATA!F:F,INPUT_DATA!$A:$A,$B58,INPUT_DATA!$C:$C,"S"))</f>
        <v/>
      </c>
      <c r="F58" s="727" t="str">
        <f>IF($B58=0,"",SUMIFS(INPUT_DATA!G:G,INPUT_DATA!$A:$A,$B58,INPUT_DATA!$C:$C,"S"))</f>
        <v/>
      </c>
      <c r="G58" s="727" t="str">
        <f>IF($B58=0,"",SUMIFS(INPUT_DATA!H:H,INPUT_DATA!$A:$A,$B58,INPUT_DATA!$C:$C,"S"))</f>
        <v/>
      </c>
      <c r="H58" s="727" t="str">
        <f>IF($B58=0,"",SUMIFS(INPUT_DATA!I:I,INPUT_DATA!$A:$A,$B58,INPUT_DATA!$C:$C,"S"))</f>
        <v/>
      </c>
      <c r="I58" s="727" t="str">
        <f>IF($B58=0,"",SUMIFS(INPUT_DATA!J:J,INPUT_DATA!$A:$A,$B58,INPUT_DATA!$C:$C,"S"))</f>
        <v/>
      </c>
      <c r="J58" s="727" t="str">
        <f>IF($B58=0,"",SUMIFS(INPUT_DATA!K:K,INPUT_DATA!$A:$A,$B58,INPUT_DATA!$C:$C,"S"))</f>
        <v/>
      </c>
      <c r="K58" s="727" t="str">
        <f>IF($B58=0,"",SUMIFS(INPUT_DATA!L:L,INPUT_DATA!$A:$A,$B58,INPUT_DATA!$C:$C,"S"))</f>
        <v/>
      </c>
      <c r="L58" s="727" t="str">
        <f>IF($B58=0,"",SUMIFS(INPUT_DATA!M:M,INPUT_DATA!$A:$A,$B58,INPUT_DATA!$C:$C,"S"))</f>
        <v/>
      </c>
      <c r="M58" s="727" t="str">
        <f>IF($B58=0,"",SUMIFS(INPUT_DATA!N:N,INPUT_DATA!$A:$A,$B58,INPUT_DATA!$C:$C,"S"))</f>
        <v/>
      </c>
      <c r="N58" s="727" t="str">
        <f>IF($B58=0,"",SUMIFS(INPUT_DATA!O:O,INPUT_DATA!$A:$A,$B58,INPUT_DATA!$C:$C,"S"))</f>
        <v/>
      </c>
      <c r="O58" s="728" t="str">
        <f t="shared" si="38"/>
        <v/>
      </c>
      <c r="P58" s="729" t="str">
        <f>IF($B58=0,"",SUMIFS(INPUT_DATA!P:P,INPUT_DATA!$A:$A,$B58,INPUT_DATA!$C:$C,"S"))</f>
        <v/>
      </c>
      <c r="Q58" s="729" t="str">
        <f t="shared" si="39"/>
        <v/>
      </c>
      <c r="R58" s="735" t="str">
        <f>IF($B58=0,"",SUMIFS(INPUT_DATA!Q:Q,INPUT_DATA!$A:$A,$B58,INPUT_DATA!$C:$C,"S"))</f>
        <v/>
      </c>
      <c r="S58" s="735" t="str">
        <f>IF($B58=0,"",SUMIFS(INPUT_DATA!R:R,INPUT_DATA!$A:$A,$B58,INPUT_DATA!$C:$C,"S"))</f>
        <v/>
      </c>
      <c r="T58" s="735" t="str">
        <f>IF($B58=0,"",SUMIFS(INPUT_DATA!S:S,INPUT_DATA!$A:$A,$B58,INPUT_DATA!$C:$C,"S"))</f>
        <v/>
      </c>
      <c r="U58" s="312" t="str">
        <f>IF($B58=0,"",SUMIFS(INPUT_DATA!T:T,INPUT_DATA!$A:$A,$B58,INPUT_DATA!$C:$C,"S"))</f>
        <v/>
      </c>
      <c r="V58" s="312" t="str">
        <f>IF($B58=0,"",SUMIFS(INPUT_DATA!U:U,INPUT_DATA!$A:$A,$B58,INPUT_DATA!$C:$C,"S"))</f>
        <v/>
      </c>
      <c r="W58" s="312" t="str">
        <f>IF($B58=0,"",SUMIFS(INPUT_DATA!V:V,INPUT_DATA!$A:$A,$B58,INPUT_DATA!$C:$C,"S"))</f>
        <v/>
      </c>
      <c r="X58" s="312" t="str">
        <f>IF($B58=0,"",SUMIFS(INPUT_DATA!W:W,INPUT_DATA!$A:$A,$B58,INPUT_DATA!$C:$C,"S"))</f>
        <v/>
      </c>
      <c r="Y58" s="312" t="str">
        <f>IF($B58=0,"",SUMIFS(INPUT_DATA!X:X,INPUT_DATA!$A:$A,$B58,INPUT_DATA!$C:$C,"S"))</f>
        <v/>
      </c>
      <c r="Z58" s="312" t="str">
        <f>IF($B58=0,"",SUMIFS(INPUT_DATA!Y:Y,INPUT_DATA!$A:$A,$B58,INPUT_DATA!$C:$C,"S"))</f>
        <v/>
      </c>
      <c r="AA58" s="312" t="str">
        <f>IF($B58=0,"",SUMIFS(INPUT_DATA!Z:Z,INPUT_DATA!$A:$A,$B58,INPUT_DATA!$C:$C,"S"))</f>
        <v/>
      </c>
      <c r="AB58" s="312" t="str">
        <f>IF($B58=0,"",SUMIFS(INPUT_DATA!AA:AA,INPUT_DATA!$A:$A,$B58,INPUT_DATA!$C:$C,"S"))</f>
        <v/>
      </c>
      <c r="AC58" s="312" t="str">
        <f>IF($B58=0,"",SUMIFS(INPUT_DATA!AB:AB,INPUT_DATA!$A:$A,$B58,INPUT_DATA!$C:$C,"S"))</f>
        <v/>
      </c>
      <c r="AD58" s="312" t="str">
        <f>IF($B58=0,"",SUMIFS(INPUT_DATA!AC:AC,INPUT_DATA!$A:$A,$B58,INPUT_DATA!$C:$C,"S"))</f>
        <v/>
      </c>
      <c r="AE58" s="312" t="str">
        <f>IF($B58=0,"",SUMIFS(INPUT_DATA!AD:AD,INPUT_DATA!$A:$A,$B58,INPUT_DATA!$C:$C,"S"))</f>
        <v/>
      </c>
      <c r="AF58" s="312" t="str">
        <f>IF($B58=0,"",SUMIFS(INPUT_DATA!AE:AE,INPUT_DATA!$A:$A,$B58,INPUT_DATA!$C:$C,"S"))</f>
        <v/>
      </c>
      <c r="AG58" s="312" t="str">
        <f>IF($B58=0,"",SUMIFS(INPUT_DATA!AF:AF,INPUT_DATA!$A:$A,$B58,INPUT_DATA!$C:$C,"S"))</f>
        <v/>
      </c>
      <c r="AH58" s="312" t="str">
        <f>IF($B58=0,"",SUMIFS(INPUT_DATA!AG:AG,INPUT_DATA!$A:$A,$B58,INPUT_DATA!$C:$C,"S"))</f>
        <v/>
      </c>
      <c r="AI58" s="312" t="str">
        <f>IF($B58=0,"",SUMIFS(INPUT_DATA!AH:AH,INPUT_DATA!$A:$A,$B58,INPUT_DATA!$C:$C,"S"))</f>
        <v/>
      </c>
      <c r="AJ58" s="312" t="str">
        <f>IF($B58=0,"",SUMIFS(INPUT_DATA!AI:AI,INPUT_DATA!$A:$A,$B58,INPUT_DATA!$C:$C,"S"))</f>
        <v/>
      </c>
      <c r="AK58" s="312" t="str">
        <f>IF($B58=0,"",SUMIFS(INPUT_DATA!AJ:AJ,INPUT_DATA!$A:$A,$B58,INPUT_DATA!$C:$C,"S"))</f>
        <v/>
      </c>
      <c r="AL58" s="312" t="str">
        <f>IF($B58=0,"",SUMIFS(INPUT_DATA!AK:AK,INPUT_DATA!$A:$A,$B58,INPUT_DATA!$C:$C,"S"))</f>
        <v/>
      </c>
      <c r="AM58" s="312" t="str">
        <f>IF($B58=0,"",SUMIFS(INPUT_DATA!AL:AL,INPUT_DATA!$A:$A,$B58,INPUT_DATA!$C:$C,"S"))</f>
        <v/>
      </c>
      <c r="AN58" s="312" t="str">
        <f>IF($B58=0,"",SUMIFS(INPUT_DATA!AM:AM,INPUT_DATA!$A:$A,$B58,INPUT_DATA!$C:$C,"S"))</f>
        <v/>
      </c>
      <c r="AO58" s="312" t="str">
        <f>IF($B58=0,"",SUMIFS(INPUT_DATA!AN:AN,INPUT_DATA!$A:$A,$B58,INPUT_DATA!$C:$C,"S"))</f>
        <v/>
      </c>
      <c r="AP58" s="312" t="str">
        <f>IF($B58=0,"",SUMIFS(INPUT_DATA!AO:AO,INPUT_DATA!$A:$A,$B58,INPUT_DATA!$C:$C,"S"))</f>
        <v/>
      </c>
      <c r="AQ58" s="312" t="str">
        <f>IF($B58=0,"",SUMIFS(INPUT_DATA!AP:AP,INPUT_DATA!$A:$A,$B58,INPUT_DATA!$C:$C,"S"))</f>
        <v/>
      </c>
      <c r="AR58" s="312" t="str">
        <f>IF($B58=0,"",SUMIFS(INPUT_DATA!AQ:AQ,INPUT_DATA!$A:$A,$B58,INPUT_DATA!$C:$C,"S"))</f>
        <v/>
      </c>
      <c r="AS58" s="736" t="str">
        <f t="shared" si="29"/>
        <v/>
      </c>
      <c r="AT58" s="737" t="str">
        <f t="shared" si="30"/>
        <v/>
      </c>
      <c r="AU58" s="738" t="str">
        <f t="shared" si="31"/>
        <v/>
      </c>
      <c r="AV58" s="736" t="str">
        <f>IF($B58=0,"",SUMIFS(INPUT_DATA!AR:AR,INPUT_DATA!$A:$A,$B58,INPUT_DATA!$C:$C,"S"))</f>
        <v/>
      </c>
      <c r="AW58" s="737" t="str">
        <f>IF($B58=0,"",SUMIFS(INPUT_DATA!AS:AS,INPUT_DATA!$A:$A,$B58,INPUT_DATA!$C:$C,"S"))</f>
        <v/>
      </c>
      <c r="AX58" s="738" t="str">
        <f>IF($B58=0,"",SUMIFS(INPUT_DATA!AT:AT,INPUT_DATA!$A:$A,$B58,INPUT_DATA!$C:$C,"S"))</f>
        <v/>
      </c>
      <c r="AY58" s="736" t="str">
        <f t="shared" si="15"/>
        <v/>
      </c>
      <c r="AZ58" s="737" t="str">
        <f t="shared" si="16"/>
        <v/>
      </c>
      <c r="BA58" s="738" t="str">
        <f t="shared" si="17"/>
        <v/>
      </c>
      <c r="BB58" s="150"/>
      <c r="BC58" s="725" t="str">
        <f>IF($B58=0,"",SUMIFS(INPUT_DATA!D:D,INPUT_DATA!$A:$A,$B58,INPUT_DATA!$C:$C,"D"))</f>
        <v/>
      </c>
      <c r="BD58" s="311" t="str">
        <f>IF($B58=0,"",SUMIFS(INPUT_DATA!F:F,INPUT_DATA!$A:$A,$B58,INPUT_DATA!$C:$C,"D"))</f>
        <v/>
      </c>
      <c r="BE58" s="311" t="str">
        <f>IF($B58=0,"",SUMIFS(INPUT_DATA!G:G,INPUT_DATA!$A:$A,$B58,INPUT_DATA!$C:$C,"D"))</f>
        <v/>
      </c>
      <c r="BF58" s="311" t="str">
        <f>IF($B58=0,"",SUMIFS(INPUT_DATA!H:H,INPUT_DATA!$A:$A,$B58,INPUT_DATA!$C:$C,"D"))</f>
        <v/>
      </c>
      <c r="BG58" s="311" t="str">
        <f>IF($B58=0,"",SUMIFS(INPUT_DATA!I:I,INPUT_DATA!$A:$A,$B58,INPUT_DATA!$C:$C,"D"))</f>
        <v/>
      </c>
      <c r="BH58" s="311" t="str">
        <f>IF($B58=0,"",SUMIFS(INPUT_DATA!J:J,INPUT_DATA!$A:$A,$B58,INPUT_DATA!$C:$C,"D"))</f>
        <v/>
      </c>
      <c r="BI58" s="311" t="str">
        <f>IF($B58=0,"",SUMIFS(INPUT_DATA!K:K,INPUT_DATA!$A:$A,$B58,INPUT_DATA!$C:$C,"D"))</f>
        <v/>
      </c>
      <c r="BJ58" s="311" t="str">
        <f>IF($B58=0,"",SUMIFS(INPUT_DATA!L:L,INPUT_DATA!$A:$A,$B58,INPUT_DATA!$C:$C,"D"))</f>
        <v/>
      </c>
      <c r="BK58" s="311" t="str">
        <f>IF($B58=0,"",SUMIFS(INPUT_DATA!M:M,INPUT_DATA!$A:$A,$B58,INPUT_DATA!$C:$C,"D"))</f>
        <v/>
      </c>
      <c r="BL58" s="311" t="str">
        <f>IF($B58=0,"",SUMIFS(INPUT_DATA!N:N,INPUT_DATA!$A:$A,$B58,INPUT_DATA!$C:$C,"D"))</f>
        <v/>
      </c>
      <c r="BM58" s="311" t="str">
        <f>IF($B58=0,"",SUMIFS(INPUT_DATA!O:O,INPUT_DATA!$A:$A,$B58,INPUT_DATA!$C:$C,"D"))</f>
        <v/>
      </c>
      <c r="BN58" s="741" t="str">
        <f t="shared" si="18"/>
        <v/>
      </c>
      <c r="BO58" s="741" t="str">
        <f>IF($B58=0,"",SUMIFS(INPUT_DATA!O:O,INPUT_DATA!$A:$A,$B58,INPUT_DATA!$C:$C,"D"))</f>
        <v/>
      </c>
      <c r="BP58" s="741" t="str">
        <f t="shared" si="19"/>
        <v/>
      </c>
      <c r="BQ58" s="725" t="str">
        <f>IF($B58=0,"",SUMIFS(INPUT_DATA!Q:Q,INPUT_DATA!$A:$A,$B58,INPUT_DATA!$C:$C,"D"))</f>
        <v/>
      </c>
      <c r="BR58" s="747" t="str">
        <f>IF($B58=0,"",SUMIFS(INPUT_DATA!R:R,INPUT_DATA!$A:$A,$B58,INPUT_DATA!$C:$C,"D"))</f>
        <v/>
      </c>
      <c r="BS58" s="747" t="str">
        <f>IF($B58=0,"",SUMIFS(INPUT_DATA!S:S,INPUT_DATA!$A:$A,$B58,INPUT_DATA!$C:$C,"D"))</f>
        <v/>
      </c>
      <c r="BT58" s="311" t="str">
        <f>IF($B58=0,"",SUMIFS(INPUT_DATA!T:T,INPUT_DATA!$A:$A,$B58,INPUT_DATA!$C:$C,"D"))</f>
        <v/>
      </c>
      <c r="BU58" s="311" t="str">
        <f>IF($B58=0,"",SUMIFS(INPUT_DATA!U:U,INPUT_DATA!$A:$A,$B58,INPUT_DATA!$C:$C,"D"))</f>
        <v/>
      </c>
      <c r="BV58" s="311" t="str">
        <f>IF($B58=0,"",SUMIFS(INPUT_DATA!V:V,INPUT_DATA!$A:$A,$B58,INPUT_DATA!$C:$C,"D"))</f>
        <v/>
      </c>
      <c r="BW58" s="311" t="str">
        <f>IF($B58=0,"",SUMIFS(INPUT_DATA!W:W,INPUT_DATA!$A:$A,$B58,INPUT_DATA!$C:$C,"D"))</f>
        <v/>
      </c>
      <c r="BX58" s="311" t="str">
        <f>IF($B58=0,"",SUMIFS(INPUT_DATA!X:X,INPUT_DATA!$A:$A,$B58,INPUT_DATA!$C:$C,"D"))</f>
        <v/>
      </c>
      <c r="BY58" s="311" t="str">
        <f>IF($B58=0,"",SUMIFS(INPUT_DATA!Y:Y,INPUT_DATA!$A:$A,$B58,INPUT_DATA!$C:$C,"D"))</f>
        <v/>
      </c>
      <c r="BZ58" s="352" t="str">
        <f>IF($B58=0,"",SUMIFS(INPUT_DATA!Z:Z,INPUT_DATA!$A:$A,$B58,INPUT_DATA!$C:$C,"D"))</f>
        <v/>
      </c>
      <c r="CA58" s="352" t="str">
        <f>IF($B58=0,"",SUMIFS(INPUT_DATA!AA:AA,INPUT_DATA!$A:$A,$B58,INPUT_DATA!$C:$C,"D"))</f>
        <v/>
      </c>
      <c r="CB58" s="352" t="str">
        <f>IF($B58=0,"",SUMIFS(INPUT_DATA!AB:AB,INPUT_DATA!$A:$A,$B58,INPUT_DATA!$C:$C,"D"))</f>
        <v/>
      </c>
      <c r="CC58" s="311" t="str">
        <f>IF($B58=0,"",SUMIFS(INPUT_DATA!AC:AC,INPUT_DATA!$A:$A,$B58,INPUT_DATA!$C:$C,"D"))</f>
        <v/>
      </c>
      <c r="CD58" s="311" t="str">
        <f>IF($B58=0,"",SUMIFS(INPUT_DATA!AD:AD,INPUT_DATA!$A:$A,$B58,INPUT_DATA!$C:$C,"D"))</f>
        <v/>
      </c>
      <c r="CE58" s="311" t="str">
        <f>IF($B58=0,"",SUMIFS(INPUT_DATA!AE:AE,INPUT_DATA!$A:$A,$B58,INPUT_DATA!$C:$C,"D"))</f>
        <v/>
      </c>
      <c r="CF58" s="352" t="str">
        <f>IF($B58=0,"",SUMIFS(INPUT_DATA!AF:AF,INPUT_DATA!$A:$A,$B58,INPUT_DATA!$C:$C,"D"))</f>
        <v/>
      </c>
      <c r="CG58" s="352" t="str">
        <f>IF($B58=0,"",SUMIFS(INPUT_DATA!AG:AG,INPUT_DATA!$A:$A,$B58,INPUT_DATA!$C:$C,"D"))</f>
        <v/>
      </c>
      <c r="CH58" s="352" t="str">
        <f>IF($B58=0,"",SUMIFS(INPUT_DATA!AH:AH,INPUT_DATA!$A:$A,$B58,INPUT_DATA!$C:$C,"D"))</f>
        <v/>
      </c>
      <c r="CI58" s="153" t="str">
        <f>IF($B58=0,"",SUMIFS(INPUT_DATA!AI:AI,INPUT_DATA!$A:$A,$B58,INPUT_DATA!$C:$C,"D"))</f>
        <v/>
      </c>
      <c r="CJ58" s="153" t="str">
        <f>IF($B58=0,"",SUMIFS(INPUT_DATA!AJ:AJ,INPUT_DATA!$A:$A,$B58,INPUT_DATA!$C:$C,"D"))</f>
        <v/>
      </c>
      <c r="CK58" s="153" t="str">
        <f>IF($B58=0,"",SUMIFS(INPUT_DATA!AK:AK,INPUT_DATA!$A:$A,$B58,INPUT_DATA!$C:$C,"D"))</f>
        <v/>
      </c>
      <c r="CL58" s="153" t="str">
        <f>IF($B58=0,"",SUMIFS(INPUT_DATA!AL:AL,INPUT_DATA!$A:$A,$B58,INPUT_DATA!$C:$C,"D"))</f>
        <v/>
      </c>
      <c r="CM58" s="153" t="str">
        <f>IF($B58=0,"",SUMIFS(INPUT_DATA!AM:AM,INPUT_DATA!$A:$A,$B58,INPUT_DATA!$C:$C,"D"))</f>
        <v/>
      </c>
      <c r="CN58" s="153" t="str">
        <f>IF($B58=0,"",SUMIFS(INPUT_DATA!AN:AN,INPUT_DATA!$A:$A,$B58,INPUT_DATA!$C:$C,"D"))</f>
        <v/>
      </c>
      <c r="CO58" s="153" t="str">
        <f>IF($B58=0,"",SUMIFS(INPUT_DATA!AO:AO,INPUT_DATA!$A:$A,$B58,INPUT_DATA!$C:$C,"D"))</f>
        <v/>
      </c>
      <c r="CP58" s="153" t="str">
        <f>IF($B58=0,"",SUMIFS(INPUT_DATA!AP:AP,INPUT_DATA!$A:$A,$B58,INPUT_DATA!$C:$C,"D"))</f>
        <v/>
      </c>
      <c r="CQ58" s="153" t="str">
        <f>IF($B58=0,"",SUMIFS(INPUT_DATA!AQ:AQ,INPUT_DATA!$A:$A,$B58,INPUT_DATA!$C:$C,"D"))</f>
        <v/>
      </c>
      <c r="CR58" s="737" t="str">
        <f t="shared" si="32"/>
        <v/>
      </c>
      <c r="CS58" s="737" t="str">
        <f t="shared" si="33"/>
        <v/>
      </c>
      <c r="CT58" s="737" t="str">
        <f t="shared" si="34"/>
        <v/>
      </c>
      <c r="CU58" s="726" t="str">
        <f>IF($B58=0,"",SUMIFS(INPUT_DATA!AR:AR,INPUT_DATA!$A:$A,$B58,INPUT_DATA!$C:$C,"D"))</f>
        <v/>
      </c>
      <c r="CV58" s="726" t="str">
        <f>IF($B58=0,"",SUMIFS(INPUT_DATA!AS:AS,INPUT_DATA!$A:$A,$B58,INPUT_DATA!$C:$C,"D"))</f>
        <v/>
      </c>
      <c r="CW58" s="726" t="str">
        <f>IF($B58=0,"",SUMIFS(INPUT_DATA!AT:AT,INPUT_DATA!$A:$A,$B58,INPUT_DATA!$C:$C,"D"))</f>
        <v/>
      </c>
      <c r="CX58" s="726" t="str">
        <f t="shared" si="35"/>
        <v/>
      </c>
      <c r="CY58" s="737" t="str">
        <f t="shared" si="36"/>
        <v/>
      </c>
      <c r="CZ58" s="748" t="str">
        <f t="shared" si="37"/>
        <v/>
      </c>
      <c r="DA58" s="150"/>
    </row>
    <row r="59" spans="1:105" x14ac:dyDescent="0.2">
      <c r="A59" s="172">
        <f t="shared" si="40"/>
        <v>-12</v>
      </c>
      <c r="B59" s="720">
        <f>INPUT_DATA!BQ46</f>
        <v>0</v>
      </c>
      <c r="C59" s="725" t="str">
        <f>IF($B59=0,"",SUMIFS(INPUT_DATA!D:D,INPUT_DATA!$A:$A,$B59,INPUT_DATA!$C:$C,"S"))</f>
        <v/>
      </c>
      <c r="D59" s="726" t="str">
        <f>IF($B59=0,"",SUMIFS(INPUT_DATA!E:E,INPUT_DATA!$A:$A,$B59,INPUT_DATA!$C:$C,"S"))</f>
        <v/>
      </c>
      <c r="E59" s="727" t="str">
        <f>IF($B59=0,"",SUMIFS(INPUT_DATA!F:F,INPUT_DATA!$A:$A,$B59,INPUT_DATA!$C:$C,"S"))</f>
        <v/>
      </c>
      <c r="F59" s="727" t="str">
        <f>IF($B59=0,"",SUMIFS(INPUT_DATA!G:G,INPUT_DATA!$A:$A,$B59,INPUT_DATA!$C:$C,"S"))</f>
        <v/>
      </c>
      <c r="G59" s="727" t="str">
        <f>IF($B59=0,"",SUMIFS(INPUT_DATA!H:H,INPUT_DATA!$A:$A,$B59,INPUT_DATA!$C:$C,"S"))</f>
        <v/>
      </c>
      <c r="H59" s="727" t="str">
        <f>IF($B59=0,"",SUMIFS(INPUT_DATA!I:I,INPUT_DATA!$A:$A,$B59,INPUT_DATA!$C:$C,"S"))</f>
        <v/>
      </c>
      <c r="I59" s="727" t="str">
        <f>IF($B59=0,"",SUMIFS(INPUT_DATA!J:J,INPUT_DATA!$A:$A,$B59,INPUT_DATA!$C:$C,"S"))</f>
        <v/>
      </c>
      <c r="J59" s="727" t="str">
        <f>IF($B59=0,"",SUMIFS(INPUT_DATA!K:K,INPUT_DATA!$A:$A,$B59,INPUT_DATA!$C:$C,"S"))</f>
        <v/>
      </c>
      <c r="K59" s="727" t="str">
        <f>IF($B59=0,"",SUMIFS(INPUT_DATA!L:L,INPUT_DATA!$A:$A,$B59,INPUT_DATA!$C:$C,"S"))</f>
        <v/>
      </c>
      <c r="L59" s="727" t="str">
        <f>IF($B59=0,"",SUMIFS(INPUT_DATA!M:M,INPUT_DATA!$A:$A,$B59,INPUT_DATA!$C:$C,"S"))</f>
        <v/>
      </c>
      <c r="M59" s="727" t="str">
        <f>IF($B59=0,"",SUMIFS(INPUT_DATA!N:N,INPUT_DATA!$A:$A,$B59,INPUT_DATA!$C:$C,"S"))</f>
        <v/>
      </c>
      <c r="N59" s="727" t="str">
        <f>IF($B59=0,"",SUMIFS(INPUT_DATA!O:O,INPUT_DATA!$A:$A,$B59,INPUT_DATA!$C:$C,"S"))</f>
        <v/>
      </c>
      <c r="O59" s="728" t="str">
        <f t="shared" si="38"/>
        <v/>
      </c>
      <c r="P59" s="729" t="str">
        <f>IF($B59=0,"",SUMIFS(INPUT_DATA!P:P,INPUT_DATA!$A:$A,$B59,INPUT_DATA!$C:$C,"S"))</f>
        <v/>
      </c>
      <c r="Q59" s="729" t="str">
        <f t="shared" si="39"/>
        <v/>
      </c>
      <c r="R59" s="735" t="str">
        <f>IF($B59=0,"",SUMIFS(INPUT_DATA!Q:Q,INPUT_DATA!$A:$A,$B59,INPUT_DATA!$C:$C,"S"))</f>
        <v/>
      </c>
      <c r="S59" s="735" t="str">
        <f>IF($B59=0,"",SUMIFS(INPUT_DATA!R:R,INPUT_DATA!$A:$A,$B59,INPUT_DATA!$C:$C,"S"))</f>
        <v/>
      </c>
      <c r="T59" s="735" t="str">
        <f>IF($B59=0,"",SUMIFS(INPUT_DATA!S:S,INPUT_DATA!$A:$A,$B59,INPUT_DATA!$C:$C,"S"))</f>
        <v/>
      </c>
      <c r="U59" s="312" t="str">
        <f>IF($B59=0,"",SUMIFS(INPUT_DATA!T:T,INPUT_DATA!$A:$A,$B59,INPUT_DATA!$C:$C,"S"))</f>
        <v/>
      </c>
      <c r="V59" s="312" t="str">
        <f>IF($B59=0,"",SUMIFS(INPUT_DATA!U:U,INPUT_DATA!$A:$A,$B59,INPUT_DATA!$C:$C,"S"))</f>
        <v/>
      </c>
      <c r="W59" s="312" t="str">
        <f>IF($B59=0,"",SUMIFS(INPUT_DATA!V:V,INPUT_DATA!$A:$A,$B59,INPUT_DATA!$C:$C,"S"))</f>
        <v/>
      </c>
      <c r="X59" s="312" t="str">
        <f>IF($B59=0,"",SUMIFS(INPUT_DATA!W:W,INPUT_DATA!$A:$A,$B59,INPUT_DATA!$C:$C,"S"))</f>
        <v/>
      </c>
      <c r="Y59" s="312" t="str">
        <f>IF($B59=0,"",SUMIFS(INPUT_DATA!X:X,INPUT_DATA!$A:$A,$B59,INPUT_DATA!$C:$C,"S"))</f>
        <v/>
      </c>
      <c r="Z59" s="312" t="str">
        <f>IF($B59=0,"",SUMIFS(INPUT_DATA!Y:Y,INPUT_DATA!$A:$A,$B59,INPUT_DATA!$C:$C,"S"))</f>
        <v/>
      </c>
      <c r="AA59" s="312" t="str">
        <f>IF($B59=0,"",SUMIFS(INPUT_DATA!Z:Z,INPUT_DATA!$A:$A,$B59,INPUT_DATA!$C:$C,"S"))</f>
        <v/>
      </c>
      <c r="AB59" s="312" t="str">
        <f>IF($B59=0,"",SUMIFS(INPUT_DATA!AA:AA,INPUT_DATA!$A:$A,$B59,INPUT_DATA!$C:$C,"S"))</f>
        <v/>
      </c>
      <c r="AC59" s="312" t="str">
        <f>IF($B59=0,"",SUMIFS(INPUT_DATA!AB:AB,INPUT_DATA!$A:$A,$B59,INPUT_DATA!$C:$C,"S"))</f>
        <v/>
      </c>
      <c r="AD59" s="312" t="str">
        <f>IF($B59=0,"",SUMIFS(INPUT_DATA!AC:AC,INPUT_DATA!$A:$A,$B59,INPUT_DATA!$C:$C,"S"))</f>
        <v/>
      </c>
      <c r="AE59" s="312" t="str">
        <f>IF($B59=0,"",SUMIFS(INPUT_DATA!AD:AD,INPUT_DATA!$A:$A,$B59,INPUT_DATA!$C:$C,"S"))</f>
        <v/>
      </c>
      <c r="AF59" s="312" t="str">
        <f>IF($B59=0,"",SUMIFS(INPUT_DATA!AE:AE,INPUT_DATA!$A:$A,$B59,INPUT_DATA!$C:$C,"S"))</f>
        <v/>
      </c>
      <c r="AG59" s="312" t="str">
        <f>IF($B59=0,"",SUMIFS(INPUT_DATA!AF:AF,INPUT_DATA!$A:$A,$B59,INPUT_DATA!$C:$C,"S"))</f>
        <v/>
      </c>
      <c r="AH59" s="312" t="str">
        <f>IF($B59=0,"",SUMIFS(INPUT_DATA!AG:AG,INPUT_DATA!$A:$A,$B59,INPUT_DATA!$C:$C,"S"))</f>
        <v/>
      </c>
      <c r="AI59" s="312" t="str">
        <f>IF($B59=0,"",SUMIFS(INPUT_DATA!AH:AH,INPUT_DATA!$A:$A,$B59,INPUT_DATA!$C:$C,"S"))</f>
        <v/>
      </c>
      <c r="AJ59" s="312" t="str">
        <f>IF($B59=0,"",SUMIFS(INPUT_DATA!AI:AI,INPUT_DATA!$A:$A,$B59,INPUT_DATA!$C:$C,"S"))</f>
        <v/>
      </c>
      <c r="AK59" s="312" t="str">
        <f>IF($B59=0,"",SUMIFS(INPUT_DATA!AJ:AJ,INPUT_DATA!$A:$A,$B59,INPUT_DATA!$C:$C,"S"))</f>
        <v/>
      </c>
      <c r="AL59" s="312" t="str">
        <f>IF($B59=0,"",SUMIFS(INPUT_DATA!AK:AK,INPUT_DATA!$A:$A,$B59,INPUT_DATA!$C:$C,"S"))</f>
        <v/>
      </c>
      <c r="AM59" s="312" t="str">
        <f>IF($B59=0,"",SUMIFS(INPUT_DATA!AL:AL,INPUT_DATA!$A:$A,$B59,INPUT_DATA!$C:$C,"S"))</f>
        <v/>
      </c>
      <c r="AN59" s="312" t="str">
        <f>IF($B59=0,"",SUMIFS(INPUT_DATA!AM:AM,INPUT_DATA!$A:$A,$B59,INPUT_DATA!$C:$C,"S"))</f>
        <v/>
      </c>
      <c r="AO59" s="312" t="str">
        <f>IF($B59=0,"",SUMIFS(INPUT_DATA!AN:AN,INPUT_DATA!$A:$A,$B59,INPUT_DATA!$C:$C,"S"))</f>
        <v/>
      </c>
      <c r="AP59" s="312" t="str">
        <f>IF($B59=0,"",SUMIFS(INPUT_DATA!AO:AO,INPUT_DATA!$A:$A,$B59,INPUT_DATA!$C:$C,"S"))</f>
        <v/>
      </c>
      <c r="AQ59" s="312" t="str">
        <f>IF($B59=0,"",SUMIFS(INPUT_DATA!AP:AP,INPUT_DATA!$A:$A,$B59,INPUT_DATA!$C:$C,"S"))</f>
        <v/>
      </c>
      <c r="AR59" s="312" t="str">
        <f>IF($B59=0,"",SUMIFS(INPUT_DATA!AQ:AQ,INPUT_DATA!$A:$A,$B59,INPUT_DATA!$C:$C,"S"))</f>
        <v/>
      </c>
      <c r="AS59" s="736" t="str">
        <f t="shared" si="29"/>
        <v/>
      </c>
      <c r="AT59" s="737" t="str">
        <f t="shared" si="30"/>
        <v/>
      </c>
      <c r="AU59" s="738" t="str">
        <f t="shared" si="31"/>
        <v/>
      </c>
      <c r="AV59" s="736" t="str">
        <f>IF($B59=0,"",SUMIFS(INPUT_DATA!AR:AR,INPUT_DATA!$A:$A,$B59,INPUT_DATA!$C:$C,"S"))</f>
        <v/>
      </c>
      <c r="AW59" s="737" t="str">
        <f>IF($B59=0,"",SUMIFS(INPUT_DATA!AS:AS,INPUT_DATA!$A:$A,$B59,INPUT_DATA!$C:$C,"S"))</f>
        <v/>
      </c>
      <c r="AX59" s="738" t="str">
        <f>IF($B59=0,"",SUMIFS(INPUT_DATA!AT:AT,INPUT_DATA!$A:$A,$B59,INPUT_DATA!$C:$C,"S"))</f>
        <v/>
      </c>
      <c r="AY59" s="736" t="str">
        <f t="shared" si="15"/>
        <v/>
      </c>
      <c r="AZ59" s="737" t="str">
        <f t="shared" si="16"/>
        <v/>
      </c>
      <c r="BA59" s="738" t="str">
        <f t="shared" si="17"/>
        <v/>
      </c>
      <c r="BB59" s="150"/>
      <c r="BC59" s="725" t="str">
        <f>IF($B59=0,"",SUMIFS(INPUT_DATA!D:D,INPUT_DATA!$A:$A,$B59,INPUT_DATA!$C:$C,"D"))</f>
        <v/>
      </c>
      <c r="BD59" s="311" t="str">
        <f>IF($B59=0,"",SUMIFS(INPUT_DATA!F:F,INPUT_DATA!$A:$A,$B59,INPUT_DATA!$C:$C,"D"))</f>
        <v/>
      </c>
      <c r="BE59" s="311" t="str">
        <f>IF($B59=0,"",SUMIFS(INPUT_DATA!G:G,INPUT_DATA!$A:$A,$B59,INPUT_DATA!$C:$C,"D"))</f>
        <v/>
      </c>
      <c r="BF59" s="311" t="str">
        <f>IF($B59=0,"",SUMIFS(INPUT_DATA!H:H,INPUT_DATA!$A:$A,$B59,INPUT_DATA!$C:$C,"D"))</f>
        <v/>
      </c>
      <c r="BG59" s="311" t="str">
        <f>IF($B59=0,"",SUMIFS(INPUT_DATA!I:I,INPUT_DATA!$A:$A,$B59,INPUT_DATA!$C:$C,"D"))</f>
        <v/>
      </c>
      <c r="BH59" s="311" t="str">
        <f>IF($B59=0,"",SUMIFS(INPUT_DATA!J:J,INPUT_DATA!$A:$A,$B59,INPUT_DATA!$C:$C,"D"))</f>
        <v/>
      </c>
      <c r="BI59" s="311" t="str">
        <f>IF($B59=0,"",SUMIFS(INPUT_DATA!K:K,INPUT_DATA!$A:$A,$B59,INPUT_DATA!$C:$C,"D"))</f>
        <v/>
      </c>
      <c r="BJ59" s="311" t="str">
        <f>IF($B59=0,"",SUMIFS(INPUT_DATA!L:L,INPUT_DATA!$A:$A,$B59,INPUT_DATA!$C:$C,"D"))</f>
        <v/>
      </c>
      <c r="BK59" s="311" t="str">
        <f>IF($B59=0,"",SUMIFS(INPUT_DATA!M:M,INPUT_DATA!$A:$A,$B59,INPUT_DATA!$C:$C,"D"))</f>
        <v/>
      </c>
      <c r="BL59" s="311" t="str">
        <f>IF($B59=0,"",SUMIFS(INPUT_DATA!N:N,INPUT_DATA!$A:$A,$B59,INPUT_DATA!$C:$C,"D"))</f>
        <v/>
      </c>
      <c r="BM59" s="311" t="str">
        <f>IF($B59=0,"",SUMIFS(INPUT_DATA!O:O,INPUT_DATA!$A:$A,$B59,INPUT_DATA!$C:$C,"D"))</f>
        <v/>
      </c>
      <c r="BN59" s="741" t="str">
        <f t="shared" si="18"/>
        <v/>
      </c>
      <c r="BO59" s="741" t="str">
        <f>IF($B59=0,"",SUMIFS(INPUT_DATA!O:O,INPUT_DATA!$A:$A,$B59,INPUT_DATA!$C:$C,"D"))</f>
        <v/>
      </c>
      <c r="BP59" s="741" t="str">
        <f t="shared" si="19"/>
        <v/>
      </c>
      <c r="BQ59" s="725" t="str">
        <f>IF($B59=0,"",SUMIFS(INPUT_DATA!Q:Q,INPUT_DATA!$A:$A,$B59,INPUT_DATA!$C:$C,"D"))</f>
        <v/>
      </c>
      <c r="BR59" s="747" t="str">
        <f>IF($B59=0,"",SUMIFS(INPUT_DATA!R:R,INPUT_DATA!$A:$A,$B59,INPUT_DATA!$C:$C,"D"))</f>
        <v/>
      </c>
      <c r="BS59" s="747" t="str">
        <f>IF($B59=0,"",SUMIFS(INPUT_DATA!S:S,INPUT_DATA!$A:$A,$B59,INPUT_DATA!$C:$C,"D"))</f>
        <v/>
      </c>
      <c r="BT59" s="311" t="str">
        <f>IF($B59=0,"",SUMIFS(INPUT_DATA!T:T,INPUT_DATA!$A:$A,$B59,INPUT_DATA!$C:$C,"D"))</f>
        <v/>
      </c>
      <c r="BU59" s="311" t="str">
        <f>IF($B59=0,"",SUMIFS(INPUT_DATA!U:U,INPUT_DATA!$A:$A,$B59,INPUT_DATA!$C:$C,"D"))</f>
        <v/>
      </c>
      <c r="BV59" s="311" t="str">
        <f>IF($B59=0,"",SUMIFS(INPUT_DATA!V:V,INPUT_DATA!$A:$A,$B59,INPUT_DATA!$C:$C,"D"))</f>
        <v/>
      </c>
      <c r="BW59" s="311" t="str">
        <f>IF($B59=0,"",SUMIFS(INPUT_DATA!W:W,INPUT_DATA!$A:$A,$B59,INPUT_DATA!$C:$C,"D"))</f>
        <v/>
      </c>
      <c r="BX59" s="311" t="str">
        <f>IF($B59=0,"",SUMIFS(INPUT_DATA!X:X,INPUT_DATA!$A:$A,$B59,INPUT_DATA!$C:$C,"D"))</f>
        <v/>
      </c>
      <c r="BY59" s="311" t="str">
        <f>IF($B59=0,"",SUMIFS(INPUT_DATA!Y:Y,INPUT_DATA!$A:$A,$B59,INPUT_DATA!$C:$C,"D"))</f>
        <v/>
      </c>
      <c r="BZ59" s="352" t="str">
        <f>IF($B59=0,"",SUMIFS(INPUT_DATA!Z:Z,INPUT_DATA!$A:$A,$B59,INPUT_DATA!$C:$C,"D"))</f>
        <v/>
      </c>
      <c r="CA59" s="352" t="str">
        <f>IF($B59=0,"",SUMIFS(INPUT_DATA!AA:AA,INPUT_DATA!$A:$A,$B59,INPUT_DATA!$C:$C,"D"))</f>
        <v/>
      </c>
      <c r="CB59" s="352" t="str">
        <f>IF($B59=0,"",SUMIFS(INPUT_DATA!AB:AB,INPUT_DATA!$A:$A,$B59,INPUT_DATA!$C:$C,"D"))</f>
        <v/>
      </c>
      <c r="CC59" s="311" t="str">
        <f>IF($B59=0,"",SUMIFS(INPUT_DATA!AC:AC,INPUT_DATA!$A:$A,$B59,INPUT_DATA!$C:$C,"D"))</f>
        <v/>
      </c>
      <c r="CD59" s="311" t="str">
        <f>IF($B59=0,"",SUMIFS(INPUT_DATA!AD:AD,INPUT_DATA!$A:$A,$B59,INPUT_DATA!$C:$C,"D"))</f>
        <v/>
      </c>
      <c r="CE59" s="311" t="str">
        <f>IF($B59=0,"",SUMIFS(INPUT_DATA!AE:AE,INPUT_DATA!$A:$A,$B59,INPUT_DATA!$C:$C,"D"))</f>
        <v/>
      </c>
      <c r="CF59" s="352" t="str">
        <f>IF($B59=0,"",SUMIFS(INPUT_DATA!AF:AF,INPUT_DATA!$A:$A,$B59,INPUT_DATA!$C:$C,"D"))</f>
        <v/>
      </c>
      <c r="CG59" s="352" t="str">
        <f>IF($B59=0,"",SUMIFS(INPUT_DATA!AG:AG,INPUT_DATA!$A:$A,$B59,INPUT_DATA!$C:$C,"D"))</f>
        <v/>
      </c>
      <c r="CH59" s="352" t="str">
        <f>IF($B59=0,"",SUMIFS(INPUT_DATA!AH:AH,INPUT_DATA!$A:$A,$B59,INPUT_DATA!$C:$C,"D"))</f>
        <v/>
      </c>
      <c r="CI59" s="153" t="str">
        <f>IF($B59=0,"",SUMIFS(INPUT_DATA!AI:AI,INPUT_DATA!$A:$A,$B59,INPUT_DATA!$C:$C,"D"))</f>
        <v/>
      </c>
      <c r="CJ59" s="153" t="str">
        <f>IF($B59=0,"",SUMIFS(INPUT_DATA!AJ:AJ,INPUT_DATA!$A:$A,$B59,INPUT_DATA!$C:$C,"D"))</f>
        <v/>
      </c>
      <c r="CK59" s="153" t="str">
        <f>IF($B59=0,"",SUMIFS(INPUT_DATA!AK:AK,INPUT_DATA!$A:$A,$B59,INPUT_DATA!$C:$C,"D"))</f>
        <v/>
      </c>
      <c r="CL59" s="153" t="str">
        <f>IF($B59=0,"",SUMIFS(INPUT_DATA!AL:AL,INPUT_DATA!$A:$A,$B59,INPUT_DATA!$C:$C,"D"))</f>
        <v/>
      </c>
      <c r="CM59" s="153" t="str">
        <f>IF($B59=0,"",SUMIFS(INPUT_DATA!AM:AM,INPUT_DATA!$A:$A,$B59,INPUT_DATA!$C:$C,"D"))</f>
        <v/>
      </c>
      <c r="CN59" s="153" t="str">
        <f>IF($B59=0,"",SUMIFS(INPUT_DATA!AN:AN,INPUT_DATA!$A:$A,$B59,INPUT_DATA!$C:$C,"D"))</f>
        <v/>
      </c>
      <c r="CO59" s="153" t="str">
        <f>IF($B59=0,"",SUMIFS(INPUT_DATA!AO:AO,INPUT_DATA!$A:$A,$B59,INPUT_DATA!$C:$C,"D"))</f>
        <v/>
      </c>
      <c r="CP59" s="153" t="str">
        <f>IF($B59=0,"",SUMIFS(INPUT_DATA!AP:AP,INPUT_DATA!$A:$A,$B59,INPUT_DATA!$C:$C,"D"))</f>
        <v/>
      </c>
      <c r="CQ59" s="153" t="str">
        <f>IF($B59=0,"",SUMIFS(INPUT_DATA!AQ:AQ,INPUT_DATA!$A:$A,$B59,INPUT_DATA!$C:$C,"D"))</f>
        <v/>
      </c>
      <c r="CR59" s="737" t="str">
        <f t="shared" si="32"/>
        <v/>
      </c>
      <c r="CS59" s="737" t="str">
        <f t="shared" si="33"/>
        <v/>
      </c>
      <c r="CT59" s="737" t="str">
        <f t="shared" si="34"/>
        <v/>
      </c>
      <c r="CU59" s="726" t="str">
        <f>IF($B59=0,"",SUMIFS(INPUT_DATA!AR:AR,INPUT_DATA!$A:$A,$B59,INPUT_DATA!$C:$C,"D"))</f>
        <v/>
      </c>
      <c r="CV59" s="726" t="str">
        <f>IF($B59=0,"",SUMIFS(INPUT_DATA!AS:AS,INPUT_DATA!$A:$A,$B59,INPUT_DATA!$C:$C,"D"))</f>
        <v/>
      </c>
      <c r="CW59" s="726" t="str">
        <f>IF($B59=0,"",SUMIFS(INPUT_DATA!AT:AT,INPUT_DATA!$A:$A,$B59,INPUT_DATA!$C:$C,"D"))</f>
        <v/>
      </c>
      <c r="CX59" s="726" t="str">
        <f t="shared" si="35"/>
        <v/>
      </c>
      <c r="CY59" s="737" t="str">
        <f t="shared" si="36"/>
        <v/>
      </c>
      <c r="CZ59" s="748" t="str">
        <f t="shared" si="37"/>
        <v/>
      </c>
      <c r="DA59" s="150"/>
    </row>
    <row r="60" spans="1:105" x14ac:dyDescent="0.2">
      <c r="A60" s="172">
        <f t="shared" si="40"/>
        <v>-13</v>
      </c>
      <c r="B60" s="720">
        <f>INPUT_DATA!BQ47</f>
        <v>0</v>
      </c>
      <c r="C60" s="725" t="str">
        <f>IF($B60=0,"",SUMIFS(INPUT_DATA!D:D,INPUT_DATA!$A:$A,$B60,INPUT_DATA!$C:$C,"S"))</f>
        <v/>
      </c>
      <c r="D60" s="726" t="str">
        <f>IF($B60=0,"",SUMIFS(INPUT_DATA!E:E,INPUT_DATA!$A:$A,$B60,INPUT_DATA!$C:$C,"S"))</f>
        <v/>
      </c>
      <c r="E60" s="727" t="str">
        <f>IF($B60=0,"",SUMIFS(INPUT_DATA!F:F,INPUT_DATA!$A:$A,$B60,INPUT_DATA!$C:$C,"S"))</f>
        <v/>
      </c>
      <c r="F60" s="727" t="str">
        <f>IF($B60=0,"",SUMIFS(INPUT_DATA!G:G,INPUT_DATA!$A:$A,$B60,INPUT_DATA!$C:$C,"S"))</f>
        <v/>
      </c>
      <c r="G60" s="727" t="str">
        <f>IF($B60=0,"",SUMIFS(INPUT_DATA!H:H,INPUT_DATA!$A:$A,$B60,INPUT_DATA!$C:$C,"S"))</f>
        <v/>
      </c>
      <c r="H60" s="727" t="str">
        <f>IF($B60=0,"",SUMIFS(INPUT_DATA!I:I,INPUT_DATA!$A:$A,$B60,INPUT_DATA!$C:$C,"S"))</f>
        <v/>
      </c>
      <c r="I60" s="727" t="str">
        <f>IF($B60=0,"",SUMIFS(INPUT_DATA!J:J,INPUT_DATA!$A:$A,$B60,INPUT_DATA!$C:$C,"S"))</f>
        <v/>
      </c>
      <c r="J60" s="727" t="str">
        <f>IF($B60=0,"",SUMIFS(INPUT_DATA!K:K,INPUT_DATA!$A:$A,$B60,INPUT_DATA!$C:$C,"S"))</f>
        <v/>
      </c>
      <c r="K60" s="727" t="str">
        <f>IF($B60=0,"",SUMIFS(INPUT_DATA!L:L,INPUT_DATA!$A:$A,$B60,INPUT_DATA!$C:$C,"S"))</f>
        <v/>
      </c>
      <c r="L60" s="727" t="str">
        <f>IF($B60=0,"",SUMIFS(INPUT_DATA!M:M,INPUT_DATA!$A:$A,$B60,INPUT_DATA!$C:$C,"S"))</f>
        <v/>
      </c>
      <c r="M60" s="727" t="str">
        <f>IF($B60=0,"",SUMIFS(INPUT_DATA!N:N,INPUT_DATA!$A:$A,$B60,INPUT_DATA!$C:$C,"S"))</f>
        <v/>
      </c>
      <c r="N60" s="727" t="str">
        <f>IF($B60=0,"",SUMIFS(INPUT_DATA!O:O,INPUT_DATA!$A:$A,$B60,INPUT_DATA!$C:$C,"S"))</f>
        <v/>
      </c>
      <c r="O60" s="728" t="str">
        <f t="shared" si="38"/>
        <v/>
      </c>
      <c r="P60" s="729" t="str">
        <f>IF($B60=0,"",SUMIFS(INPUT_DATA!P:P,INPUT_DATA!$A:$A,$B60,INPUT_DATA!$C:$C,"S"))</f>
        <v/>
      </c>
      <c r="Q60" s="729" t="str">
        <f t="shared" si="39"/>
        <v/>
      </c>
      <c r="R60" s="735" t="str">
        <f>IF($B60=0,"",SUMIFS(INPUT_DATA!Q:Q,INPUT_DATA!$A:$A,$B60,INPUT_DATA!$C:$C,"S"))</f>
        <v/>
      </c>
      <c r="S60" s="735" t="str">
        <f>IF($B60=0,"",SUMIFS(INPUT_DATA!R:R,INPUT_DATA!$A:$A,$B60,INPUT_DATA!$C:$C,"S"))</f>
        <v/>
      </c>
      <c r="T60" s="735" t="str">
        <f>IF($B60=0,"",SUMIFS(INPUT_DATA!S:S,INPUT_DATA!$A:$A,$B60,INPUT_DATA!$C:$C,"S"))</f>
        <v/>
      </c>
      <c r="U60" s="312" t="str">
        <f>IF($B60=0,"",SUMIFS(INPUT_DATA!T:T,INPUT_DATA!$A:$A,$B60,INPUT_DATA!$C:$C,"S"))</f>
        <v/>
      </c>
      <c r="V60" s="312" t="str">
        <f>IF($B60=0,"",SUMIFS(INPUT_DATA!U:U,INPUT_DATA!$A:$A,$B60,INPUT_DATA!$C:$C,"S"))</f>
        <v/>
      </c>
      <c r="W60" s="312" t="str">
        <f>IF($B60=0,"",SUMIFS(INPUT_DATA!V:V,INPUT_DATA!$A:$A,$B60,INPUT_DATA!$C:$C,"S"))</f>
        <v/>
      </c>
      <c r="X60" s="312" t="str">
        <f>IF($B60=0,"",SUMIFS(INPUT_DATA!W:W,INPUT_DATA!$A:$A,$B60,INPUT_DATA!$C:$C,"S"))</f>
        <v/>
      </c>
      <c r="Y60" s="312" t="str">
        <f>IF($B60=0,"",SUMIFS(INPUT_DATA!X:X,INPUT_DATA!$A:$A,$B60,INPUT_DATA!$C:$C,"S"))</f>
        <v/>
      </c>
      <c r="Z60" s="312" t="str">
        <f>IF($B60=0,"",SUMIFS(INPUT_DATA!Y:Y,INPUT_DATA!$A:$A,$B60,INPUT_DATA!$C:$C,"S"))</f>
        <v/>
      </c>
      <c r="AA60" s="312" t="str">
        <f>IF($B60=0,"",SUMIFS(INPUT_DATA!Z:Z,INPUT_DATA!$A:$A,$B60,INPUT_DATA!$C:$C,"S"))</f>
        <v/>
      </c>
      <c r="AB60" s="312" t="str">
        <f>IF($B60=0,"",SUMIFS(INPUT_DATA!AA:AA,INPUT_DATA!$A:$A,$B60,INPUT_DATA!$C:$C,"S"))</f>
        <v/>
      </c>
      <c r="AC60" s="312" t="str">
        <f>IF($B60=0,"",SUMIFS(INPUT_DATA!AB:AB,INPUT_DATA!$A:$A,$B60,INPUT_DATA!$C:$C,"S"))</f>
        <v/>
      </c>
      <c r="AD60" s="312" t="str">
        <f>IF($B60=0,"",SUMIFS(INPUT_DATA!AC:AC,INPUT_DATA!$A:$A,$B60,INPUT_DATA!$C:$C,"S"))</f>
        <v/>
      </c>
      <c r="AE60" s="312" t="str">
        <f>IF($B60=0,"",SUMIFS(INPUT_DATA!AD:AD,INPUT_DATA!$A:$A,$B60,INPUT_DATA!$C:$C,"S"))</f>
        <v/>
      </c>
      <c r="AF60" s="312" t="str">
        <f>IF($B60=0,"",SUMIFS(INPUT_DATA!AE:AE,INPUT_DATA!$A:$A,$B60,INPUT_DATA!$C:$C,"S"))</f>
        <v/>
      </c>
      <c r="AG60" s="312" t="str">
        <f>IF($B60=0,"",SUMIFS(INPUT_DATA!AF:AF,INPUT_DATA!$A:$A,$B60,INPUT_DATA!$C:$C,"S"))</f>
        <v/>
      </c>
      <c r="AH60" s="312" t="str">
        <f>IF($B60=0,"",SUMIFS(INPUT_DATA!AG:AG,INPUT_DATA!$A:$A,$B60,INPUT_DATA!$C:$C,"S"))</f>
        <v/>
      </c>
      <c r="AI60" s="312" t="str">
        <f>IF($B60=0,"",SUMIFS(INPUT_DATA!AH:AH,INPUT_DATA!$A:$A,$B60,INPUT_DATA!$C:$C,"S"))</f>
        <v/>
      </c>
      <c r="AJ60" s="312" t="str">
        <f>IF($B60=0,"",SUMIFS(INPUT_DATA!AI:AI,INPUT_DATA!$A:$A,$B60,INPUT_DATA!$C:$C,"S"))</f>
        <v/>
      </c>
      <c r="AK60" s="312" t="str">
        <f>IF($B60=0,"",SUMIFS(INPUT_DATA!AJ:AJ,INPUT_DATA!$A:$A,$B60,INPUT_DATA!$C:$C,"S"))</f>
        <v/>
      </c>
      <c r="AL60" s="312" t="str">
        <f>IF($B60=0,"",SUMIFS(INPUT_DATA!AK:AK,INPUT_DATA!$A:$A,$B60,INPUT_DATA!$C:$C,"S"))</f>
        <v/>
      </c>
      <c r="AM60" s="312" t="str">
        <f>IF($B60=0,"",SUMIFS(INPUT_DATA!AL:AL,INPUT_DATA!$A:$A,$B60,INPUT_DATA!$C:$C,"S"))</f>
        <v/>
      </c>
      <c r="AN60" s="312" t="str">
        <f>IF($B60=0,"",SUMIFS(INPUT_DATA!AM:AM,INPUT_DATA!$A:$A,$B60,INPUT_DATA!$C:$C,"S"))</f>
        <v/>
      </c>
      <c r="AO60" s="312" t="str">
        <f>IF($B60=0,"",SUMIFS(INPUT_DATA!AN:AN,INPUT_DATA!$A:$A,$B60,INPUT_DATA!$C:$C,"S"))</f>
        <v/>
      </c>
      <c r="AP60" s="312" t="str">
        <f>IF($B60=0,"",SUMIFS(INPUT_DATA!AO:AO,INPUT_DATA!$A:$A,$B60,INPUT_DATA!$C:$C,"S"))</f>
        <v/>
      </c>
      <c r="AQ60" s="312" t="str">
        <f>IF($B60=0,"",SUMIFS(INPUT_DATA!AP:AP,INPUT_DATA!$A:$A,$B60,INPUT_DATA!$C:$C,"S"))</f>
        <v/>
      </c>
      <c r="AR60" s="312" t="str">
        <f>IF($B60=0,"",SUMIFS(INPUT_DATA!AQ:AQ,INPUT_DATA!$A:$A,$B60,INPUT_DATA!$C:$C,"S"))</f>
        <v/>
      </c>
      <c r="AS60" s="736" t="str">
        <f t="shared" si="29"/>
        <v/>
      </c>
      <c r="AT60" s="737" t="str">
        <f t="shared" si="30"/>
        <v/>
      </c>
      <c r="AU60" s="738" t="str">
        <f t="shared" si="31"/>
        <v/>
      </c>
      <c r="AV60" s="736" t="str">
        <f>IF($B60=0,"",SUMIFS(INPUT_DATA!AR:AR,INPUT_DATA!$A:$A,$B60,INPUT_DATA!$C:$C,"S"))</f>
        <v/>
      </c>
      <c r="AW60" s="737" t="str">
        <f>IF($B60=0,"",SUMIFS(INPUT_DATA!AS:AS,INPUT_DATA!$A:$A,$B60,INPUT_DATA!$C:$C,"S"))</f>
        <v/>
      </c>
      <c r="AX60" s="738" t="str">
        <f>IF($B60=0,"",SUMIFS(INPUT_DATA!AT:AT,INPUT_DATA!$A:$A,$B60,INPUT_DATA!$C:$C,"S"))</f>
        <v/>
      </c>
      <c r="AY60" s="736" t="str">
        <f t="shared" si="15"/>
        <v/>
      </c>
      <c r="AZ60" s="737" t="str">
        <f t="shared" si="16"/>
        <v/>
      </c>
      <c r="BA60" s="738" t="str">
        <f t="shared" si="17"/>
        <v/>
      </c>
      <c r="BB60" s="150"/>
      <c r="BC60" s="725" t="str">
        <f>IF($B60=0,"",SUMIFS(INPUT_DATA!D:D,INPUT_DATA!$A:$A,$B60,INPUT_DATA!$C:$C,"D"))</f>
        <v/>
      </c>
      <c r="BD60" s="311" t="str">
        <f>IF($B60=0,"",SUMIFS(INPUT_DATA!F:F,INPUT_DATA!$A:$A,$B60,INPUT_DATA!$C:$C,"D"))</f>
        <v/>
      </c>
      <c r="BE60" s="311" t="str">
        <f>IF($B60=0,"",SUMIFS(INPUT_DATA!G:G,INPUT_DATA!$A:$A,$B60,INPUT_DATA!$C:$C,"D"))</f>
        <v/>
      </c>
      <c r="BF60" s="311" t="str">
        <f>IF($B60=0,"",SUMIFS(INPUT_DATA!H:H,INPUT_DATA!$A:$A,$B60,INPUT_DATA!$C:$C,"D"))</f>
        <v/>
      </c>
      <c r="BG60" s="311" t="str">
        <f>IF($B60=0,"",SUMIFS(INPUT_DATA!I:I,INPUT_DATA!$A:$A,$B60,INPUT_DATA!$C:$C,"D"))</f>
        <v/>
      </c>
      <c r="BH60" s="311" t="str">
        <f>IF($B60=0,"",SUMIFS(INPUT_DATA!J:J,INPUT_DATA!$A:$A,$B60,INPUT_DATA!$C:$C,"D"))</f>
        <v/>
      </c>
      <c r="BI60" s="311" t="str">
        <f>IF($B60=0,"",SUMIFS(INPUT_DATA!K:K,INPUT_DATA!$A:$A,$B60,INPUT_DATA!$C:$C,"D"))</f>
        <v/>
      </c>
      <c r="BJ60" s="311" t="str">
        <f>IF($B60=0,"",SUMIFS(INPUT_DATA!L:L,INPUT_DATA!$A:$A,$B60,INPUT_DATA!$C:$C,"D"))</f>
        <v/>
      </c>
      <c r="BK60" s="311" t="str">
        <f>IF($B60=0,"",SUMIFS(INPUT_DATA!M:M,INPUT_DATA!$A:$A,$B60,INPUT_DATA!$C:$C,"D"))</f>
        <v/>
      </c>
      <c r="BL60" s="311" t="str">
        <f>IF($B60=0,"",SUMIFS(INPUT_DATA!N:N,INPUT_DATA!$A:$A,$B60,INPUT_DATA!$C:$C,"D"))</f>
        <v/>
      </c>
      <c r="BM60" s="311" t="str">
        <f>IF($B60=0,"",SUMIFS(INPUT_DATA!O:O,INPUT_DATA!$A:$A,$B60,INPUT_DATA!$C:$C,"D"))</f>
        <v/>
      </c>
      <c r="BN60" s="741" t="str">
        <f t="shared" si="18"/>
        <v/>
      </c>
      <c r="BO60" s="741" t="str">
        <f>IF($B60=0,"",SUMIFS(INPUT_DATA!O:O,INPUT_DATA!$A:$A,$B60,INPUT_DATA!$C:$C,"D"))</f>
        <v/>
      </c>
      <c r="BP60" s="741" t="str">
        <f t="shared" si="19"/>
        <v/>
      </c>
      <c r="BQ60" s="725" t="str">
        <f>IF($B60=0,"",SUMIFS(INPUT_DATA!Q:Q,INPUT_DATA!$A:$A,$B60,INPUT_DATA!$C:$C,"D"))</f>
        <v/>
      </c>
      <c r="BR60" s="747" t="str">
        <f>IF($B60=0,"",SUMIFS(INPUT_DATA!R:R,INPUT_DATA!$A:$A,$B60,INPUT_DATA!$C:$C,"D"))</f>
        <v/>
      </c>
      <c r="BS60" s="747" t="str">
        <f>IF($B60=0,"",SUMIFS(INPUT_DATA!S:S,INPUT_DATA!$A:$A,$B60,INPUT_DATA!$C:$C,"D"))</f>
        <v/>
      </c>
      <c r="BT60" s="311" t="str">
        <f>IF($B60=0,"",SUMIFS(INPUT_DATA!T:T,INPUT_DATA!$A:$A,$B60,INPUT_DATA!$C:$C,"D"))</f>
        <v/>
      </c>
      <c r="BU60" s="311" t="str">
        <f>IF($B60=0,"",SUMIFS(INPUT_DATA!U:U,INPUT_DATA!$A:$A,$B60,INPUT_DATA!$C:$C,"D"))</f>
        <v/>
      </c>
      <c r="BV60" s="311" t="str">
        <f>IF($B60=0,"",SUMIFS(INPUT_DATA!V:V,INPUT_DATA!$A:$A,$B60,INPUT_DATA!$C:$C,"D"))</f>
        <v/>
      </c>
      <c r="BW60" s="311" t="str">
        <f>IF($B60=0,"",SUMIFS(INPUT_DATA!W:W,INPUT_DATA!$A:$A,$B60,INPUT_DATA!$C:$C,"D"))</f>
        <v/>
      </c>
      <c r="BX60" s="311" t="str">
        <f>IF($B60=0,"",SUMIFS(INPUT_DATA!X:X,INPUT_DATA!$A:$A,$B60,INPUT_DATA!$C:$C,"D"))</f>
        <v/>
      </c>
      <c r="BY60" s="311" t="str">
        <f>IF($B60=0,"",SUMIFS(INPUT_DATA!Y:Y,INPUT_DATA!$A:$A,$B60,INPUT_DATA!$C:$C,"D"))</f>
        <v/>
      </c>
      <c r="BZ60" s="352" t="str">
        <f>IF($B60=0,"",SUMIFS(INPUT_DATA!Z:Z,INPUT_DATA!$A:$A,$B60,INPUT_DATA!$C:$C,"D"))</f>
        <v/>
      </c>
      <c r="CA60" s="352" t="str">
        <f>IF($B60=0,"",SUMIFS(INPUT_DATA!AA:AA,INPUT_DATA!$A:$A,$B60,INPUT_DATA!$C:$C,"D"))</f>
        <v/>
      </c>
      <c r="CB60" s="352" t="str">
        <f>IF($B60=0,"",SUMIFS(INPUT_DATA!AB:AB,INPUT_DATA!$A:$A,$B60,INPUT_DATA!$C:$C,"D"))</f>
        <v/>
      </c>
      <c r="CC60" s="311" t="str">
        <f>IF($B60=0,"",SUMIFS(INPUT_DATA!AC:AC,INPUT_DATA!$A:$A,$B60,INPUT_DATA!$C:$C,"D"))</f>
        <v/>
      </c>
      <c r="CD60" s="311" t="str">
        <f>IF($B60=0,"",SUMIFS(INPUT_DATA!AD:AD,INPUT_DATA!$A:$A,$B60,INPUT_DATA!$C:$C,"D"))</f>
        <v/>
      </c>
      <c r="CE60" s="311" t="str">
        <f>IF($B60=0,"",SUMIFS(INPUT_DATA!AE:AE,INPUT_DATA!$A:$A,$B60,INPUT_DATA!$C:$C,"D"))</f>
        <v/>
      </c>
      <c r="CF60" s="352" t="str">
        <f>IF($B60=0,"",SUMIFS(INPUT_DATA!AF:AF,INPUT_DATA!$A:$A,$B60,INPUT_DATA!$C:$C,"D"))</f>
        <v/>
      </c>
      <c r="CG60" s="352" t="str">
        <f>IF($B60=0,"",SUMIFS(INPUT_DATA!AG:AG,INPUT_DATA!$A:$A,$B60,INPUT_DATA!$C:$C,"D"))</f>
        <v/>
      </c>
      <c r="CH60" s="352" t="str">
        <f>IF($B60=0,"",SUMIFS(INPUT_DATA!AH:AH,INPUT_DATA!$A:$A,$B60,INPUT_DATA!$C:$C,"D"))</f>
        <v/>
      </c>
      <c r="CI60" s="153" t="str">
        <f>IF($B60=0,"",SUMIFS(INPUT_DATA!AI:AI,INPUT_DATA!$A:$A,$B60,INPUT_DATA!$C:$C,"D"))</f>
        <v/>
      </c>
      <c r="CJ60" s="153" t="str">
        <f>IF($B60=0,"",SUMIFS(INPUT_DATA!AJ:AJ,INPUT_DATA!$A:$A,$B60,INPUT_DATA!$C:$C,"D"))</f>
        <v/>
      </c>
      <c r="CK60" s="153" t="str">
        <f>IF($B60=0,"",SUMIFS(INPUT_DATA!AK:AK,INPUT_DATA!$A:$A,$B60,INPUT_DATA!$C:$C,"D"))</f>
        <v/>
      </c>
      <c r="CL60" s="153" t="str">
        <f>IF($B60=0,"",SUMIFS(INPUT_DATA!AL:AL,INPUT_DATA!$A:$A,$B60,INPUT_DATA!$C:$C,"D"))</f>
        <v/>
      </c>
      <c r="CM60" s="153" t="str">
        <f>IF($B60=0,"",SUMIFS(INPUT_DATA!AM:AM,INPUT_DATA!$A:$A,$B60,INPUT_DATA!$C:$C,"D"))</f>
        <v/>
      </c>
      <c r="CN60" s="153" t="str">
        <f>IF($B60=0,"",SUMIFS(INPUT_DATA!AN:AN,INPUT_DATA!$A:$A,$B60,INPUT_DATA!$C:$C,"D"))</f>
        <v/>
      </c>
      <c r="CO60" s="153" t="str">
        <f>IF($B60=0,"",SUMIFS(INPUT_DATA!AO:AO,INPUT_DATA!$A:$A,$B60,INPUT_DATA!$C:$C,"D"))</f>
        <v/>
      </c>
      <c r="CP60" s="153" t="str">
        <f>IF($B60=0,"",SUMIFS(INPUT_DATA!AP:AP,INPUT_DATA!$A:$A,$B60,INPUT_DATA!$C:$C,"D"))</f>
        <v/>
      </c>
      <c r="CQ60" s="153" t="str">
        <f>IF($B60=0,"",SUMIFS(INPUT_DATA!AQ:AQ,INPUT_DATA!$A:$A,$B60,INPUT_DATA!$C:$C,"D"))</f>
        <v/>
      </c>
      <c r="CR60" s="737" t="str">
        <f t="shared" si="32"/>
        <v/>
      </c>
      <c r="CS60" s="737" t="str">
        <f t="shared" si="33"/>
        <v/>
      </c>
      <c r="CT60" s="737" t="str">
        <f t="shared" si="34"/>
        <v/>
      </c>
      <c r="CU60" s="726" t="str">
        <f>IF($B60=0,"",SUMIFS(INPUT_DATA!AR:AR,INPUT_DATA!$A:$A,$B60,INPUT_DATA!$C:$C,"D"))</f>
        <v/>
      </c>
      <c r="CV60" s="726" t="str">
        <f>IF($B60=0,"",SUMIFS(INPUT_DATA!AS:AS,INPUT_DATA!$A:$A,$B60,INPUT_DATA!$C:$C,"D"))</f>
        <v/>
      </c>
      <c r="CW60" s="726" t="str">
        <f>IF($B60=0,"",SUMIFS(INPUT_DATA!AT:AT,INPUT_DATA!$A:$A,$B60,INPUT_DATA!$C:$C,"D"))</f>
        <v/>
      </c>
      <c r="CX60" s="726" t="str">
        <f t="shared" si="35"/>
        <v/>
      </c>
      <c r="CY60" s="737" t="str">
        <f t="shared" si="36"/>
        <v/>
      </c>
      <c r="CZ60" s="748" t="str">
        <f t="shared" si="37"/>
        <v/>
      </c>
      <c r="DA60" s="150"/>
    </row>
    <row r="61" spans="1:105" x14ac:dyDescent="0.2">
      <c r="A61" s="172">
        <f t="shared" si="40"/>
        <v>-14</v>
      </c>
      <c r="B61" s="720">
        <f>INPUT_DATA!BQ48</f>
        <v>0</v>
      </c>
      <c r="C61" s="725" t="str">
        <f>IF($B61=0,"",SUMIFS(INPUT_DATA!D:D,INPUT_DATA!$A:$A,$B61,INPUT_DATA!$C:$C,"S"))</f>
        <v/>
      </c>
      <c r="D61" s="726" t="str">
        <f>IF($B61=0,"",SUMIFS(INPUT_DATA!E:E,INPUT_DATA!$A:$A,$B61,INPUT_DATA!$C:$C,"S"))</f>
        <v/>
      </c>
      <c r="E61" s="727" t="str">
        <f>IF($B61=0,"",SUMIFS(INPUT_DATA!F:F,INPUT_DATA!$A:$A,$B61,INPUT_DATA!$C:$C,"S"))</f>
        <v/>
      </c>
      <c r="F61" s="727" t="str">
        <f>IF($B61=0,"",SUMIFS(INPUT_DATA!G:G,INPUT_DATA!$A:$A,$B61,INPUT_DATA!$C:$C,"S"))</f>
        <v/>
      </c>
      <c r="G61" s="727" t="str">
        <f>IF($B61=0,"",SUMIFS(INPUT_DATA!H:H,INPUT_DATA!$A:$A,$B61,INPUT_DATA!$C:$C,"S"))</f>
        <v/>
      </c>
      <c r="H61" s="727" t="str">
        <f>IF($B61=0,"",SUMIFS(INPUT_DATA!I:I,INPUT_DATA!$A:$A,$B61,INPUT_DATA!$C:$C,"S"))</f>
        <v/>
      </c>
      <c r="I61" s="727" t="str">
        <f>IF($B61=0,"",SUMIFS(INPUT_DATA!J:J,INPUT_DATA!$A:$A,$B61,INPUT_DATA!$C:$C,"S"))</f>
        <v/>
      </c>
      <c r="J61" s="727" t="str">
        <f>IF($B61=0,"",SUMIFS(INPUT_DATA!K:K,INPUT_DATA!$A:$A,$B61,INPUT_DATA!$C:$C,"S"))</f>
        <v/>
      </c>
      <c r="K61" s="727" t="str">
        <f>IF($B61=0,"",SUMIFS(INPUT_DATA!L:L,INPUT_DATA!$A:$A,$B61,INPUT_DATA!$C:$C,"S"))</f>
        <v/>
      </c>
      <c r="L61" s="727" t="str">
        <f>IF($B61=0,"",SUMIFS(INPUT_DATA!M:M,INPUT_DATA!$A:$A,$B61,INPUT_DATA!$C:$C,"S"))</f>
        <v/>
      </c>
      <c r="M61" s="727" t="str">
        <f>IF($B61=0,"",SUMIFS(INPUT_DATA!N:N,INPUT_DATA!$A:$A,$B61,INPUT_DATA!$C:$C,"S"))</f>
        <v/>
      </c>
      <c r="N61" s="727" t="str">
        <f>IF($B61=0,"",SUMIFS(INPUT_DATA!O:O,INPUT_DATA!$A:$A,$B61,INPUT_DATA!$C:$C,"S"))</f>
        <v/>
      </c>
      <c r="O61" s="728" t="str">
        <f t="shared" si="38"/>
        <v/>
      </c>
      <c r="P61" s="729" t="str">
        <f>IF($B61=0,"",SUMIFS(INPUT_DATA!P:P,INPUT_DATA!$A:$A,$B61,INPUT_DATA!$C:$C,"S"))</f>
        <v/>
      </c>
      <c r="Q61" s="729" t="str">
        <f t="shared" si="39"/>
        <v/>
      </c>
      <c r="R61" s="735" t="str">
        <f>IF($B61=0,"",SUMIFS(INPUT_DATA!Q:Q,INPUT_DATA!$A:$A,$B61,INPUT_DATA!$C:$C,"S"))</f>
        <v/>
      </c>
      <c r="S61" s="735" t="str">
        <f>IF($B61=0,"",SUMIFS(INPUT_DATA!R:R,INPUT_DATA!$A:$A,$B61,INPUT_DATA!$C:$C,"S"))</f>
        <v/>
      </c>
      <c r="T61" s="735" t="str">
        <f>IF($B61=0,"",SUMIFS(INPUT_DATA!S:S,INPUT_DATA!$A:$A,$B61,INPUT_DATA!$C:$C,"S"))</f>
        <v/>
      </c>
      <c r="U61" s="312" t="str">
        <f>IF($B61=0,"",SUMIFS(INPUT_DATA!T:T,INPUT_DATA!$A:$A,$B61,INPUT_DATA!$C:$C,"S"))</f>
        <v/>
      </c>
      <c r="V61" s="312" t="str">
        <f>IF($B61=0,"",SUMIFS(INPUT_DATA!U:U,INPUT_DATA!$A:$A,$B61,INPUT_DATA!$C:$C,"S"))</f>
        <v/>
      </c>
      <c r="W61" s="312" t="str">
        <f>IF($B61=0,"",SUMIFS(INPUT_DATA!V:V,INPUT_DATA!$A:$A,$B61,INPUT_DATA!$C:$C,"S"))</f>
        <v/>
      </c>
      <c r="X61" s="312" t="str">
        <f>IF($B61=0,"",SUMIFS(INPUT_DATA!W:W,INPUT_DATA!$A:$A,$B61,INPUT_DATA!$C:$C,"S"))</f>
        <v/>
      </c>
      <c r="Y61" s="312" t="str">
        <f>IF($B61=0,"",SUMIFS(INPUT_DATA!X:X,INPUT_DATA!$A:$A,$B61,INPUT_DATA!$C:$C,"S"))</f>
        <v/>
      </c>
      <c r="Z61" s="312" t="str">
        <f>IF($B61=0,"",SUMIFS(INPUT_DATA!Y:Y,INPUT_DATA!$A:$A,$B61,INPUT_DATA!$C:$C,"S"))</f>
        <v/>
      </c>
      <c r="AA61" s="312" t="str">
        <f>IF($B61=0,"",SUMIFS(INPUT_DATA!Z:Z,INPUT_DATA!$A:$A,$B61,INPUT_DATA!$C:$C,"S"))</f>
        <v/>
      </c>
      <c r="AB61" s="312" t="str">
        <f>IF($B61=0,"",SUMIFS(INPUT_DATA!AA:AA,INPUT_DATA!$A:$A,$B61,INPUT_DATA!$C:$C,"S"))</f>
        <v/>
      </c>
      <c r="AC61" s="312" t="str">
        <f>IF($B61=0,"",SUMIFS(INPUT_DATA!AB:AB,INPUT_DATA!$A:$A,$B61,INPUT_DATA!$C:$C,"S"))</f>
        <v/>
      </c>
      <c r="AD61" s="312" t="str">
        <f>IF($B61=0,"",SUMIFS(INPUT_DATA!AC:AC,INPUT_DATA!$A:$A,$B61,INPUT_DATA!$C:$C,"S"))</f>
        <v/>
      </c>
      <c r="AE61" s="312" t="str">
        <f>IF($B61=0,"",SUMIFS(INPUT_DATA!AD:AD,INPUT_DATA!$A:$A,$B61,INPUT_DATA!$C:$C,"S"))</f>
        <v/>
      </c>
      <c r="AF61" s="312" t="str">
        <f>IF($B61=0,"",SUMIFS(INPUT_DATA!AE:AE,INPUT_DATA!$A:$A,$B61,INPUT_DATA!$C:$C,"S"))</f>
        <v/>
      </c>
      <c r="AG61" s="312" t="str">
        <f>IF($B61=0,"",SUMIFS(INPUT_DATA!AF:AF,INPUT_DATA!$A:$A,$B61,INPUT_DATA!$C:$C,"S"))</f>
        <v/>
      </c>
      <c r="AH61" s="312" t="str">
        <f>IF($B61=0,"",SUMIFS(INPUT_DATA!AG:AG,INPUT_DATA!$A:$A,$B61,INPUT_DATA!$C:$C,"S"))</f>
        <v/>
      </c>
      <c r="AI61" s="312" t="str">
        <f>IF($B61=0,"",SUMIFS(INPUT_DATA!AH:AH,INPUT_DATA!$A:$A,$B61,INPUT_DATA!$C:$C,"S"))</f>
        <v/>
      </c>
      <c r="AJ61" s="312" t="str">
        <f>IF($B61=0,"",SUMIFS(INPUT_DATA!AI:AI,INPUT_DATA!$A:$A,$B61,INPUT_DATA!$C:$C,"S"))</f>
        <v/>
      </c>
      <c r="AK61" s="312" t="str">
        <f>IF($B61=0,"",SUMIFS(INPUT_DATA!AJ:AJ,INPUT_DATA!$A:$A,$B61,INPUT_DATA!$C:$C,"S"))</f>
        <v/>
      </c>
      <c r="AL61" s="312" t="str">
        <f>IF($B61=0,"",SUMIFS(INPUT_DATA!AK:AK,INPUT_DATA!$A:$A,$B61,INPUT_DATA!$C:$C,"S"))</f>
        <v/>
      </c>
      <c r="AM61" s="312" t="str">
        <f>IF($B61=0,"",SUMIFS(INPUT_DATA!AL:AL,INPUT_DATA!$A:$A,$B61,INPUT_DATA!$C:$C,"S"))</f>
        <v/>
      </c>
      <c r="AN61" s="312" t="str">
        <f>IF($B61=0,"",SUMIFS(INPUT_DATA!AM:AM,INPUT_DATA!$A:$A,$B61,INPUT_DATA!$C:$C,"S"))</f>
        <v/>
      </c>
      <c r="AO61" s="312" t="str">
        <f>IF($B61=0,"",SUMIFS(INPUT_DATA!AN:AN,INPUT_DATA!$A:$A,$B61,INPUT_DATA!$C:$C,"S"))</f>
        <v/>
      </c>
      <c r="AP61" s="312" t="str">
        <f>IF($B61=0,"",SUMIFS(INPUT_DATA!AO:AO,INPUT_DATA!$A:$A,$B61,INPUT_DATA!$C:$C,"S"))</f>
        <v/>
      </c>
      <c r="AQ61" s="312" t="str">
        <f>IF($B61=0,"",SUMIFS(INPUT_DATA!AP:AP,INPUT_DATA!$A:$A,$B61,INPUT_DATA!$C:$C,"S"))</f>
        <v/>
      </c>
      <c r="AR61" s="312" t="str">
        <f>IF($B61=0,"",SUMIFS(INPUT_DATA!AQ:AQ,INPUT_DATA!$A:$A,$B61,INPUT_DATA!$C:$C,"S"))</f>
        <v/>
      </c>
      <c r="AS61" s="736" t="str">
        <f t="shared" si="29"/>
        <v/>
      </c>
      <c r="AT61" s="737" t="str">
        <f t="shared" si="30"/>
        <v/>
      </c>
      <c r="AU61" s="738" t="str">
        <f t="shared" si="31"/>
        <v/>
      </c>
      <c r="AV61" s="736" t="str">
        <f>IF($B61=0,"",SUMIFS(INPUT_DATA!AR:AR,INPUT_DATA!$A:$A,$B61,INPUT_DATA!$C:$C,"S"))</f>
        <v/>
      </c>
      <c r="AW61" s="737" t="str">
        <f>IF($B61=0,"",SUMIFS(INPUT_DATA!AS:AS,INPUT_DATA!$A:$A,$B61,INPUT_DATA!$C:$C,"S"))</f>
        <v/>
      </c>
      <c r="AX61" s="738" t="str">
        <f>IF($B61=0,"",SUMIFS(INPUT_DATA!AT:AT,INPUT_DATA!$A:$A,$B61,INPUT_DATA!$C:$C,"S"))</f>
        <v/>
      </c>
      <c r="AY61" s="736" t="str">
        <f t="shared" si="15"/>
        <v/>
      </c>
      <c r="AZ61" s="737" t="str">
        <f t="shared" si="16"/>
        <v/>
      </c>
      <c r="BA61" s="738" t="str">
        <f t="shared" si="17"/>
        <v/>
      </c>
      <c r="BB61" s="150"/>
      <c r="BC61" s="725" t="str">
        <f>IF($B61=0,"",SUMIFS(INPUT_DATA!D:D,INPUT_DATA!$A:$A,$B61,INPUT_DATA!$C:$C,"D"))</f>
        <v/>
      </c>
      <c r="BD61" s="311" t="str">
        <f>IF($B61=0,"",SUMIFS(INPUT_DATA!F:F,INPUT_DATA!$A:$A,$B61,INPUT_DATA!$C:$C,"D"))</f>
        <v/>
      </c>
      <c r="BE61" s="311" t="str">
        <f>IF($B61=0,"",SUMIFS(INPUT_DATA!G:G,INPUT_DATA!$A:$A,$B61,INPUT_DATA!$C:$C,"D"))</f>
        <v/>
      </c>
      <c r="BF61" s="311" t="str">
        <f>IF($B61=0,"",SUMIFS(INPUT_DATA!H:H,INPUT_DATA!$A:$A,$B61,INPUT_DATA!$C:$C,"D"))</f>
        <v/>
      </c>
      <c r="BG61" s="311" t="str">
        <f>IF($B61=0,"",SUMIFS(INPUT_DATA!I:I,INPUT_DATA!$A:$A,$B61,INPUT_DATA!$C:$C,"D"))</f>
        <v/>
      </c>
      <c r="BH61" s="311" t="str">
        <f>IF($B61=0,"",SUMIFS(INPUT_DATA!J:J,INPUT_DATA!$A:$A,$B61,INPUT_DATA!$C:$C,"D"))</f>
        <v/>
      </c>
      <c r="BI61" s="311" t="str">
        <f>IF($B61=0,"",SUMIFS(INPUT_DATA!K:K,INPUT_DATA!$A:$A,$B61,INPUT_DATA!$C:$C,"D"))</f>
        <v/>
      </c>
      <c r="BJ61" s="311" t="str">
        <f>IF($B61=0,"",SUMIFS(INPUT_DATA!L:L,INPUT_DATA!$A:$A,$B61,INPUT_DATA!$C:$C,"D"))</f>
        <v/>
      </c>
      <c r="BK61" s="311" t="str">
        <f>IF($B61=0,"",SUMIFS(INPUT_DATA!M:M,INPUT_DATA!$A:$A,$B61,INPUT_DATA!$C:$C,"D"))</f>
        <v/>
      </c>
      <c r="BL61" s="311" t="str">
        <f>IF($B61=0,"",SUMIFS(INPUT_DATA!N:N,INPUT_DATA!$A:$A,$B61,INPUT_DATA!$C:$C,"D"))</f>
        <v/>
      </c>
      <c r="BM61" s="311" t="str">
        <f>IF($B61=0,"",SUMIFS(INPUT_DATA!O:O,INPUT_DATA!$A:$A,$B61,INPUT_DATA!$C:$C,"D"))</f>
        <v/>
      </c>
      <c r="BN61" s="741" t="str">
        <f t="shared" si="18"/>
        <v/>
      </c>
      <c r="BO61" s="741" t="str">
        <f>IF($B61=0,"",SUMIFS(INPUT_DATA!O:O,INPUT_DATA!$A:$A,$B61,INPUT_DATA!$C:$C,"D"))</f>
        <v/>
      </c>
      <c r="BP61" s="741" t="str">
        <f t="shared" si="19"/>
        <v/>
      </c>
      <c r="BQ61" s="725" t="str">
        <f>IF($B61=0,"",SUMIFS(INPUT_DATA!Q:Q,INPUT_DATA!$A:$A,$B61,INPUT_DATA!$C:$C,"D"))</f>
        <v/>
      </c>
      <c r="BR61" s="747" t="str">
        <f>IF($B61=0,"",SUMIFS(INPUT_DATA!R:R,INPUT_DATA!$A:$A,$B61,INPUT_DATA!$C:$C,"D"))</f>
        <v/>
      </c>
      <c r="BS61" s="747" t="str">
        <f>IF($B61=0,"",SUMIFS(INPUT_DATA!S:S,INPUT_DATA!$A:$A,$B61,INPUT_DATA!$C:$C,"D"))</f>
        <v/>
      </c>
      <c r="BT61" s="311" t="str">
        <f>IF($B61=0,"",SUMIFS(INPUT_DATA!T:T,INPUT_DATA!$A:$A,$B61,INPUT_DATA!$C:$C,"D"))</f>
        <v/>
      </c>
      <c r="BU61" s="311" t="str">
        <f>IF($B61=0,"",SUMIFS(INPUT_DATA!U:U,INPUT_DATA!$A:$A,$B61,INPUT_DATA!$C:$C,"D"))</f>
        <v/>
      </c>
      <c r="BV61" s="311" t="str">
        <f>IF($B61=0,"",SUMIFS(INPUT_DATA!V:V,INPUT_DATA!$A:$A,$B61,INPUT_DATA!$C:$C,"D"))</f>
        <v/>
      </c>
      <c r="BW61" s="311" t="str">
        <f>IF($B61=0,"",SUMIFS(INPUT_DATA!W:W,INPUT_DATA!$A:$A,$B61,INPUT_DATA!$C:$C,"D"))</f>
        <v/>
      </c>
      <c r="BX61" s="311" t="str">
        <f>IF($B61=0,"",SUMIFS(INPUT_DATA!X:X,INPUT_DATA!$A:$A,$B61,INPUT_DATA!$C:$C,"D"))</f>
        <v/>
      </c>
      <c r="BY61" s="311" t="str">
        <f>IF($B61=0,"",SUMIFS(INPUT_DATA!Y:Y,INPUT_DATA!$A:$A,$B61,INPUT_DATA!$C:$C,"D"))</f>
        <v/>
      </c>
      <c r="BZ61" s="352" t="str">
        <f>IF($B61=0,"",SUMIFS(INPUT_DATA!Z:Z,INPUT_DATA!$A:$A,$B61,INPUT_DATA!$C:$C,"D"))</f>
        <v/>
      </c>
      <c r="CA61" s="352" t="str">
        <f>IF($B61=0,"",SUMIFS(INPUT_DATA!AA:AA,INPUT_DATA!$A:$A,$B61,INPUT_DATA!$C:$C,"D"))</f>
        <v/>
      </c>
      <c r="CB61" s="352" t="str">
        <f>IF($B61=0,"",SUMIFS(INPUT_DATA!AB:AB,INPUT_DATA!$A:$A,$B61,INPUT_DATA!$C:$C,"D"))</f>
        <v/>
      </c>
      <c r="CC61" s="311" t="str">
        <f>IF($B61=0,"",SUMIFS(INPUT_DATA!AC:AC,INPUT_DATA!$A:$A,$B61,INPUT_DATA!$C:$C,"D"))</f>
        <v/>
      </c>
      <c r="CD61" s="311" t="str">
        <f>IF($B61=0,"",SUMIFS(INPUT_DATA!AD:AD,INPUT_DATA!$A:$A,$B61,INPUT_DATA!$C:$C,"D"))</f>
        <v/>
      </c>
      <c r="CE61" s="311" t="str">
        <f>IF($B61=0,"",SUMIFS(INPUT_DATA!AE:AE,INPUT_DATA!$A:$A,$B61,INPUT_DATA!$C:$C,"D"))</f>
        <v/>
      </c>
      <c r="CF61" s="352" t="str">
        <f>IF($B61=0,"",SUMIFS(INPUT_DATA!AF:AF,INPUT_DATA!$A:$A,$B61,INPUT_DATA!$C:$C,"D"))</f>
        <v/>
      </c>
      <c r="CG61" s="352" t="str">
        <f>IF($B61=0,"",SUMIFS(INPUT_DATA!AG:AG,INPUT_DATA!$A:$A,$B61,INPUT_DATA!$C:$C,"D"))</f>
        <v/>
      </c>
      <c r="CH61" s="352" t="str">
        <f>IF($B61=0,"",SUMIFS(INPUT_DATA!AH:AH,INPUT_DATA!$A:$A,$B61,INPUT_DATA!$C:$C,"D"))</f>
        <v/>
      </c>
      <c r="CI61" s="153" t="str">
        <f>IF($B61=0,"",SUMIFS(INPUT_DATA!AI:AI,INPUT_DATA!$A:$A,$B61,INPUT_DATA!$C:$C,"D"))</f>
        <v/>
      </c>
      <c r="CJ61" s="153" t="str">
        <f>IF($B61=0,"",SUMIFS(INPUT_DATA!AJ:AJ,INPUT_DATA!$A:$A,$B61,INPUT_DATA!$C:$C,"D"))</f>
        <v/>
      </c>
      <c r="CK61" s="153" t="str">
        <f>IF($B61=0,"",SUMIFS(INPUT_DATA!AK:AK,INPUT_DATA!$A:$A,$B61,INPUT_DATA!$C:$C,"D"))</f>
        <v/>
      </c>
      <c r="CL61" s="153" t="str">
        <f>IF($B61=0,"",SUMIFS(INPUT_DATA!AL:AL,INPUT_DATA!$A:$A,$B61,INPUT_DATA!$C:$C,"D"))</f>
        <v/>
      </c>
      <c r="CM61" s="153" t="str">
        <f>IF($B61=0,"",SUMIFS(INPUT_DATA!AM:AM,INPUT_DATA!$A:$A,$B61,INPUT_DATA!$C:$C,"D"))</f>
        <v/>
      </c>
      <c r="CN61" s="153" t="str">
        <f>IF($B61=0,"",SUMIFS(INPUT_DATA!AN:AN,INPUT_DATA!$A:$A,$B61,INPUT_DATA!$C:$C,"D"))</f>
        <v/>
      </c>
      <c r="CO61" s="153" t="str">
        <f>IF($B61=0,"",SUMIFS(INPUT_DATA!AO:AO,INPUT_DATA!$A:$A,$B61,INPUT_DATA!$C:$C,"D"))</f>
        <v/>
      </c>
      <c r="CP61" s="153" t="str">
        <f>IF($B61=0,"",SUMIFS(INPUT_DATA!AP:AP,INPUT_DATA!$A:$A,$B61,INPUT_DATA!$C:$C,"D"))</f>
        <v/>
      </c>
      <c r="CQ61" s="153" t="str">
        <f>IF($B61=0,"",SUMIFS(INPUT_DATA!AQ:AQ,INPUT_DATA!$A:$A,$B61,INPUT_DATA!$C:$C,"D"))</f>
        <v/>
      </c>
      <c r="CR61" s="737" t="str">
        <f t="shared" si="32"/>
        <v/>
      </c>
      <c r="CS61" s="737" t="str">
        <f t="shared" si="33"/>
        <v/>
      </c>
      <c r="CT61" s="737" t="str">
        <f t="shared" si="34"/>
        <v/>
      </c>
      <c r="CU61" s="726" t="str">
        <f>IF($B61=0,"",SUMIFS(INPUT_DATA!AR:AR,INPUT_DATA!$A:$A,$B61,INPUT_DATA!$C:$C,"D"))</f>
        <v/>
      </c>
      <c r="CV61" s="726" t="str">
        <f>IF($B61=0,"",SUMIFS(INPUT_DATA!AS:AS,INPUT_DATA!$A:$A,$B61,INPUT_DATA!$C:$C,"D"))</f>
        <v/>
      </c>
      <c r="CW61" s="726" t="str">
        <f>IF($B61=0,"",SUMIFS(INPUT_DATA!AT:AT,INPUT_DATA!$A:$A,$B61,INPUT_DATA!$C:$C,"D"))</f>
        <v/>
      </c>
      <c r="CX61" s="726" t="str">
        <f t="shared" si="35"/>
        <v/>
      </c>
      <c r="CY61" s="737" t="str">
        <f t="shared" si="36"/>
        <v/>
      </c>
      <c r="CZ61" s="748" t="str">
        <f t="shared" si="37"/>
        <v/>
      </c>
      <c r="DA61" s="150"/>
    </row>
    <row r="62" spans="1:105" x14ac:dyDescent="0.2">
      <c r="A62" s="172">
        <f t="shared" si="40"/>
        <v>-15</v>
      </c>
      <c r="B62" s="720">
        <f>INPUT_DATA!BQ49</f>
        <v>0</v>
      </c>
      <c r="C62" s="725" t="str">
        <f>IF($B62=0,"",SUMIFS(INPUT_DATA!D:D,INPUT_DATA!$A:$A,$B62,INPUT_DATA!$C:$C,"S"))</f>
        <v/>
      </c>
      <c r="D62" s="726" t="str">
        <f>IF($B62=0,"",SUMIFS(INPUT_DATA!E:E,INPUT_DATA!$A:$A,$B62,INPUT_DATA!$C:$C,"S"))</f>
        <v/>
      </c>
      <c r="E62" s="727" t="str">
        <f>IF($B62=0,"",SUMIFS(INPUT_DATA!F:F,INPUT_DATA!$A:$A,$B62,INPUT_DATA!$C:$C,"S"))</f>
        <v/>
      </c>
      <c r="F62" s="727" t="str">
        <f>IF($B62=0,"",SUMIFS(INPUT_DATA!G:G,INPUT_DATA!$A:$A,$B62,INPUT_DATA!$C:$C,"S"))</f>
        <v/>
      </c>
      <c r="G62" s="727" t="str">
        <f>IF($B62=0,"",SUMIFS(INPUT_DATA!H:H,INPUT_DATA!$A:$A,$B62,INPUT_DATA!$C:$C,"S"))</f>
        <v/>
      </c>
      <c r="H62" s="727" t="str">
        <f>IF($B62=0,"",SUMIFS(INPUT_DATA!I:I,INPUT_DATA!$A:$A,$B62,INPUT_DATA!$C:$C,"S"))</f>
        <v/>
      </c>
      <c r="I62" s="727" t="str">
        <f>IF($B62=0,"",SUMIFS(INPUT_DATA!J:J,INPUT_DATA!$A:$A,$B62,INPUT_DATA!$C:$C,"S"))</f>
        <v/>
      </c>
      <c r="J62" s="727" t="str">
        <f>IF($B62=0,"",SUMIFS(INPUT_DATA!K:K,INPUT_DATA!$A:$A,$B62,INPUT_DATA!$C:$C,"S"))</f>
        <v/>
      </c>
      <c r="K62" s="727" t="str">
        <f>IF($B62=0,"",SUMIFS(INPUT_DATA!L:L,INPUT_DATA!$A:$A,$B62,INPUT_DATA!$C:$C,"S"))</f>
        <v/>
      </c>
      <c r="L62" s="727" t="str">
        <f>IF($B62=0,"",SUMIFS(INPUT_DATA!M:M,INPUT_DATA!$A:$A,$B62,INPUT_DATA!$C:$C,"S"))</f>
        <v/>
      </c>
      <c r="M62" s="727" t="str">
        <f>IF($B62=0,"",SUMIFS(INPUT_DATA!N:N,INPUT_DATA!$A:$A,$B62,INPUT_DATA!$C:$C,"S"))</f>
        <v/>
      </c>
      <c r="N62" s="727" t="str">
        <f>IF($B62=0,"",SUMIFS(INPUT_DATA!O:O,INPUT_DATA!$A:$A,$B62,INPUT_DATA!$C:$C,"S"))</f>
        <v/>
      </c>
      <c r="O62" s="728" t="str">
        <f t="shared" si="38"/>
        <v/>
      </c>
      <c r="P62" s="729" t="str">
        <f>IF($B62=0,"",SUMIFS(INPUT_DATA!P:P,INPUT_DATA!$A:$A,$B62,INPUT_DATA!$C:$C,"S"))</f>
        <v/>
      </c>
      <c r="Q62" s="729" t="str">
        <f t="shared" si="39"/>
        <v/>
      </c>
      <c r="R62" s="735" t="str">
        <f>IF($B62=0,"",SUMIFS(INPUT_DATA!Q:Q,INPUT_DATA!$A:$A,$B62,INPUT_DATA!$C:$C,"S"))</f>
        <v/>
      </c>
      <c r="S62" s="735" t="str">
        <f>IF($B62=0,"",SUMIFS(INPUT_DATA!R:R,INPUT_DATA!$A:$A,$B62,INPUT_DATA!$C:$C,"S"))</f>
        <v/>
      </c>
      <c r="T62" s="735" t="str">
        <f>IF($B62=0,"",SUMIFS(INPUT_DATA!S:S,INPUT_DATA!$A:$A,$B62,INPUT_DATA!$C:$C,"S"))</f>
        <v/>
      </c>
      <c r="U62" s="312" t="str">
        <f>IF($B62=0,"",SUMIFS(INPUT_DATA!T:T,INPUT_DATA!$A:$A,$B62,INPUT_DATA!$C:$C,"S"))</f>
        <v/>
      </c>
      <c r="V62" s="312" t="str">
        <f>IF($B62=0,"",SUMIFS(INPUT_DATA!U:U,INPUT_DATA!$A:$A,$B62,INPUT_DATA!$C:$C,"S"))</f>
        <v/>
      </c>
      <c r="W62" s="312" t="str">
        <f>IF($B62=0,"",SUMIFS(INPUT_DATA!V:V,INPUT_DATA!$A:$A,$B62,INPUT_DATA!$C:$C,"S"))</f>
        <v/>
      </c>
      <c r="X62" s="312" t="str">
        <f>IF($B62=0,"",SUMIFS(INPUT_DATA!W:W,INPUT_DATA!$A:$A,$B62,INPUT_DATA!$C:$C,"S"))</f>
        <v/>
      </c>
      <c r="Y62" s="312" t="str">
        <f>IF($B62=0,"",SUMIFS(INPUT_DATA!X:X,INPUT_DATA!$A:$A,$B62,INPUT_DATA!$C:$C,"S"))</f>
        <v/>
      </c>
      <c r="Z62" s="312" t="str">
        <f>IF($B62=0,"",SUMIFS(INPUT_DATA!Y:Y,INPUT_DATA!$A:$A,$B62,INPUT_DATA!$C:$C,"S"))</f>
        <v/>
      </c>
      <c r="AA62" s="312" t="str">
        <f>IF($B62=0,"",SUMIFS(INPUT_DATA!Z:Z,INPUT_DATA!$A:$A,$B62,INPUT_DATA!$C:$C,"S"))</f>
        <v/>
      </c>
      <c r="AB62" s="312" t="str">
        <f>IF($B62=0,"",SUMIFS(INPUT_DATA!AA:AA,INPUT_DATA!$A:$A,$B62,INPUT_DATA!$C:$C,"S"))</f>
        <v/>
      </c>
      <c r="AC62" s="312" t="str">
        <f>IF($B62=0,"",SUMIFS(INPUT_DATA!AB:AB,INPUT_DATA!$A:$A,$B62,INPUT_DATA!$C:$C,"S"))</f>
        <v/>
      </c>
      <c r="AD62" s="312" t="str">
        <f>IF($B62=0,"",SUMIFS(INPUT_DATA!AC:AC,INPUT_DATA!$A:$A,$B62,INPUT_DATA!$C:$C,"S"))</f>
        <v/>
      </c>
      <c r="AE62" s="312" t="str">
        <f>IF($B62=0,"",SUMIFS(INPUT_DATA!AD:AD,INPUT_DATA!$A:$A,$B62,INPUT_DATA!$C:$C,"S"))</f>
        <v/>
      </c>
      <c r="AF62" s="312" t="str">
        <f>IF($B62=0,"",SUMIFS(INPUT_DATA!AE:AE,INPUT_DATA!$A:$A,$B62,INPUT_DATA!$C:$C,"S"))</f>
        <v/>
      </c>
      <c r="AG62" s="312" t="str">
        <f>IF($B62=0,"",SUMIFS(INPUT_DATA!AF:AF,INPUT_DATA!$A:$A,$B62,INPUT_DATA!$C:$C,"S"))</f>
        <v/>
      </c>
      <c r="AH62" s="312" t="str">
        <f>IF($B62=0,"",SUMIFS(INPUT_DATA!AG:AG,INPUT_DATA!$A:$A,$B62,INPUT_DATA!$C:$C,"S"))</f>
        <v/>
      </c>
      <c r="AI62" s="312" t="str">
        <f>IF($B62=0,"",SUMIFS(INPUT_DATA!AH:AH,INPUT_DATA!$A:$A,$B62,INPUT_DATA!$C:$C,"S"))</f>
        <v/>
      </c>
      <c r="AJ62" s="312" t="str">
        <f>IF($B62=0,"",SUMIFS(INPUT_DATA!AI:AI,INPUT_DATA!$A:$A,$B62,INPUT_DATA!$C:$C,"S"))</f>
        <v/>
      </c>
      <c r="AK62" s="312" t="str">
        <f>IF($B62=0,"",SUMIFS(INPUT_DATA!AJ:AJ,INPUT_DATA!$A:$A,$B62,INPUT_DATA!$C:$C,"S"))</f>
        <v/>
      </c>
      <c r="AL62" s="312" t="str">
        <f>IF($B62=0,"",SUMIFS(INPUT_DATA!AK:AK,INPUT_DATA!$A:$A,$B62,INPUT_DATA!$C:$C,"S"))</f>
        <v/>
      </c>
      <c r="AM62" s="312" t="str">
        <f>IF($B62=0,"",SUMIFS(INPUT_DATA!AL:AL,INPUT_DATA!$A:$A,$B62,INPUT_DATA!$C:$C,"S"))</f>
        <v/>
      </c>
      <c r="AN62" s="312" t="str">
        <f>IF($B62=0,"",SUMIFS(INPUT_DATA!AM:AM,INPUT_DATA!$A:$A,$B62,INPUT_DATA!$C:$C,"S"))</f>
        <v/>
      </c>
      <c r="AO62" s="312" t="str">
        <f>IF($B62=0,"",SUMIFS(INPUT_DATA!AN:AN,INPUT_DATA!$A:$A,$B62,INPUT_DATA!$C:$C,"S"))</f>
        <v/>
      </c>
      <c r="AP62" s="312" t="str">
        <f>IF($B62=0,"",SUMIFS(INPUT_DATA!AO:AO,INPUT_DATA!$A:$A,$B62,INPUT_DATA!$C:$C,"S"))</f>
        <v/>
      </c>
      <c r="AQ62" s="312" t="str">
        <f>IF($B62=0,"",SUMIFS(INPUT_DATA!AP:AP,INPUT_DATA!$A:$A,$B62,INPUT_DATA!$C:$C,"S"))</f>
        <v/>
      </c>
      <c r="AR62" s="312" t="str">
        <f>IF($B62=0,"",SUMIFS(INPUT_DATA!AQ:AQ,INPUT_DATA!$A:$A,$B62,INPUT_DATA!$C:$C,"S"))</f>
        <v/>
      </c>
      <c r="AS62" s="736" t="str">
        <f t="shared" si="29"/>
        <v/>
      </c>
      <c r="AT62" s="737" t="str">
        <f t="shared" si="30"/>
        <v/>
      </c>
      <c r="AU62" s="738" t="str">
        <f t="shared" si="31"/>
        <v/>
      </c>
      <c r="AV62" s="736" t="str">
        <f>IF($B62=0,"",SUMIFS(INPUT_DATA!AR:AR,INPUT_DATA!$A:$A,$B62,INPUT_DATA!$C:$C,"S"))</f>
        <v/>
      </c>
      <c r="AW62" s="737" t="str">
        <f>IF($B62=0,"",SUMIFS(INPUT_DATA!AS:AS,INPUT_DATA!$A:$A,$B62,INPUT_DATA!$C:$C,"S"))</f>
        <v/>
      </c>
      <c r="AX62" s="738" t="str">
        <f>IF($B62=0,"",SUMIFS(INPUT_DATA!AT:AT,INPUT_DATA!$A:$A,$B62,INPUT_DATA!$C:$C,"S"))</f>
        <v/>
      </c>
      <c r="AY62" s="736" t="str">
        <f t="shared" si="15"/>
        <v/>
      </c>
      <c r="AZ62" s="737" t="str">
        <f t="shared" si="16"/>
        <v/>
      </c>
      <c r="BA62" s="738" t="str">
        <f t="shared" si="17"/>
        <v/>
      </c>
      <c r="BB62" s="150"/>
      <c r="BC62" s="725" t="str">
        <f>IF($B62=0,"",SUMIFS(INPUT_DATA!D:D,INPUT_DATA!$A:$A,$B62,INPUT_DATA!$C:$C,"D"))</f>
        <v/>
      </c>
      <c r="BD62" s="311" t="str">
        <f>IF($B62=0,"",SUMIFS(INPUT_DATA!F:F,INPUT_DATA!$A:$A,$B62,INPUT_DATA!$C:$C,"D"))</f>
        <v/>
      </c>
      <c r="BE62" s="311" t="str">
        <f>IF($B62=0,"",SUMIFS(INPUT_DATA!G:G,INPUT_DATA!$A:$A,$B62,INPUT_DATA!$C:$C,"D"))</f>
        <v/>
      </c>
      <c r="BF62" s="311" t="str">
        <f>IF($B62=0,"",SUMIFS(INPUT_DATA!H:H,INPUT_DATA!$A:$A,$B62,INPUT_DATA!$C:$C,"D"))</f>
        <v/>
      </c>
      <c r="BG62" s="311" t="str">
        <f>IF($B62=0,"",SUMIFS(INPUT_DATA!I:I,INPUT_DATA!$A:$A,$B62,INPUT_DATA!$C:$C,"D"))</f>
        <v/>
      </c>
      <c r="BH62" s="311" t="str">
        <f>IF($B62=0,"",SUMIFS(INPUT_DATA!J:J,INPUT_DATA!$A:$A,$B62,INPUT_DATA!$C:$C,"D"))</f>
        <v/>
      </c>
      <c r="BI62" s="311" t="str">
        <f>IF($B62=0,"",SUMIFS(INPUT_DATA!K:K,INPUT_DATA!$A:$A,$B62,INPUT_DATA!$C:$C,"D"))</f>
        <v/>
      </c>
      <c r="BJ62" s="311" t="str">
        <f>IF($B62=0,"",SUMIFS(INPUT_DATA!L:L,INPUT_DATA!$A:$A,$B62,INPUT_DATA!$C:$C,"D"))</f>
        <v/>
      </c>
      <c r="BK62" s="311" t="str">
        <f>IF($B62=0,"",SUMIFS(INPUT_DATA!M:M,INPUT_DATA!$A:$A,$B62,INPUT_DATA!$C:$C,"D"))</f>
        <v/>
      </c>
      <c r="BL62" s="311" t="str">
        <f>IF($B62=0,"",SUMIFS(INPUT_DATA!N:N,INPUT_DATA!$A:$A,$B62,INPUT_DATA!$C:$C,"D"))</f>
        <v/>
      </c>
      <c r="BM62" s="311" t="str">
        <f>IF($B62=0,"",SUMIFS(INPUT_DATA!O:O,INPUT_DATA!$A:$A,$B62,INPUT_DATA!$C:$C,"D"))</f>
        <v/>
      </c>
      <c r="BN62" s="741" t="str">
        <f t="shared" si="18"/>
        <v/>
      </c>
      <c r="BO62" s="741" t="str">
        <f>IF($B62=0,"",SUMIFS(INPUT_DATA!O:O,INPUT_DATA!$A:$A,$B62,INPUT_DATA!$C:$C,"D"))</f>
        <v/>
      </c>
      <c r="BP62" s="741" t="str">
        <f t="shared" si="19"/>
        <v/>
      </c>
      <c r="BQ62" s="725" t="str">
        <f>IF($B62=0,"",SUMIFS(INPUT_DATA!Q:Q,INPUT_DATA!$A:$A,$B62,INPUT_DATA!$C:$C,"D"))</f>
        <v/>
      </c>
      <c r="BR62" s="747" t="str">
        <f>IF($B62=0,"",SUMIFS(INPUT_DATA!R:R,INPUT_DATA!$A:$A,$B62,INPUT_DATA!$C:$C,"D"))</f>
        <v/>
      </c>
      <c r="BS62" s="747" t="str">
        <f>IF($B62=0,"",SUMIFS(INPUT_DATA!S:S,INPUT_DATA!$A:$A,$B62,INPUT_DATA!$C:$C,"D"))</f>
        <v/>
      </c>
      <c r="BT62" s="311" t="str">
        <f>IF($B62=0,"",SUMIFS(INPUT_DATA!T:T,INPUT_DATA!$A:$A,$B62,INPUT_DATA!$C:$C,"D"))</f>
        <v/>
      </c>
      <c r="BU62" s="311" t="str">
        <f>IF($B62=0,"",SUMIFS(INPUT_DATA!U:U,INPUT_DATA!$A:$A,$B62,INPUT_DATA!$C:$C,"D"))</f>
        <v/>
      </c>
      <c r="BV62" s="311" t="str">
        <f>IF($B62=0,"",SUMIFS(INPUT_DATA!V:V,INPUT_DATA!$A:$A,$B62,INPUT_DATA!$C:$C,"D"))</f>
        <v/>
      </c>
      <c r="BW62" s="311" t="str">
        <f>IF($B62=0,"",SUMIFS(INPUT_DATA!W:W,INPUT_DATA!$A:$A,$B62,INPUT_DATA!$C:$C,"D"))</f>
        <v/>
      </c>
      <c r="BX62" s="311" t="str">
        <f>IF($B62=0,"",SUMIFS(INPUT_DATA!X:X,INPUT_DATA!$A:$A,$B62,INPUT_DATA!$C:$C,"D"))</f>
        <v/>
      </c>
      <c r="BY62" s="311" t="str">
        <f>IF($B62=0,"",SUMIFS(INPUT_DATA!Y:Y,INPUT_DATA!$A:$A,$B62,INPUT_DATA!$C:$C,"D"))</f>
        <v/>
      </c>
      <c r="BZ62" s="352" t="str">
        <f>IF($B62=0,"",SUMIFS(INPUT_DATA!Z:Z,INPUT_DATA!$A:$A,$B62,INPUT_DATA!$C:$C,"D"))</f>
        <v/>
      </c>
      <c r="CA62" s="352" t="str">
        <f>IF($B62=0,"",SUMIFS(INPUT_DATA!AA:AA,INPUT_DATA!$A:$A,$B62,INPUT_DATA!$C:$C,"D"))</f>
        <v/>
      </c>
      <c r="CB62" s="352" t="str">
        <f>IF($B62=0,"",SUMIFS(INPUT_DATA!AB:AB,INPUT_DATA!$A:$A,$B62,INPUT_DATA!$C:$C,"D"))</f>
        <v/>
      </c>
      <c r="CC62" s="311" t="str">
        <f>IF($B62=0,"",SUMIFS(INPUT_DATA!AC:AC,INPUT_DATA!$A:$A,$B62,INPUT_DATA!$C:$C,"D"))</f>
        <v/>
      </c>
      <c r="CD62" s="311" t="str">
        <f>IF($B62=0,"",SUMIFS(INPUT_DATA!AD:AD,INPUT_DATA!$A:$A,$B62,INPUT_DATA!$C:$C,"D"))</f>
        <v/>
      </c>
      <c r="CE62" s="311" t="str">
        <f>IF($B62=0,"",SUMIFS(INPUT_DATA!AE:AE,INPUT_DATA!$A:$A,$B62,INPUT_DATA!$C:$C,"D"))</f>
        <v/>
      </c>
      <c r="CF62" s="352" t="str">
        <f>IF($B62=0,"",SUMIFS(INPUT_DATA!AF:AF,INPUT_DATA!$A:$A,$B62,INPUT_DATA!$C:$C,"D"))</f>
        <v/>
      </c>
      <c r="CG62" s="352" t="str">
        <f>IF($B62=0,"",SUMIFS(INPUT_DATA!AG:AG,INPUT_DATA!$A:$A,$B62,INPUT_DATA!$C:$C,"D"))</f>
        <v/>
      </c>
      <c r="CH62" s="352" t="str">
        <f>IF($B62=0,"",SUMIFS(INPUT_DATA!AH:AH,INPUT_DATA!$A:$A,$B62,INPUT_DATA!$C:$C,"D"))</f>
        <v/>
      </c>
      <c r="CI62" s="153" t="str">
        <f>IF($B62=0,"",SUMIFS(INPUT_DATA!AI:AI,INPUT_DATA!$A:$A,$B62,INPUT_DATA!$C:$C,"D"))</f>
        <v/>
      </c>
      <c r="CJ62" s="153" t="str">
        <f>IF($B62=0,"",SUMIFS(INPUT_DATA!AJ:AJ,INPUT_DATA!$A:$A,$B62,INPUT_DATA!$C:$C,"D"))</f>
        <v/>
      </c>
      <c r="CK62" s="153" t="str">
        <f>IF($B62=0,"",SUMIFS(INPUT_DATA!AK:AK,INPUT_DATA!$A:$A,$B62,INPUT_DATA!$C:$C,"D"))</f>
        <v/>
      </c>
      <c r="CL62" s="153" t="str">
        <f>IF($B62=0,"",SUMIFS(INPUT_DATA!AL:AL,INPUT_DATA!$A:$A,$B62,INPUT_DATA!$C:$C,"D"))</f>
        <v/>
      </c>
      <c r="CM62" s="153" t="str">
        <f>IF($B62=0,"",SUMIFS(INPUT_DATA!AM:AM,INPUT_DATA!$A:$A,$B62,INPUT_DATA!$C:$C,"D"))</f>
        <v/>
      </c>
      <c r="CN62" s="153" t="str">
        <f>IF($B62=0,"",SUMIFS(INPUT_DATA!AN:AN,INPUT_DATA!$A:$A,$B62,INPUT_DATA!$C:$C,"D"))</f>
        <v/>
      </c>
      <c r="CO62" s="153" t="str">
        <f>IF($B62=0,"",SUMIFS(INPUT_DATA!AO:AO,INPUT_DATA!$A:$A,$B62,INPUT_DATA!$C:$C,"D"))</f>
        <v/>
      </c>
      <c r="CP62" s="153" t="str">
        <f>IF($B62=0,"",SUMIFS(INPUT_DATA!AP:AP,INPUT_DATA!$A:$A,$B62,INPUT_DATA!$C:$C,"D"))</f>
        <v/>
      </c>
      <c r="CQ62" s="153" t="str">
        <f>IF($B62=0,"",SUMIFS(INPUT_DATA!AQ:AQ,INPUT_DATA!$A:$A,$B62,INPUT_DATA!$C:$C,"D"))</f>
        <v/>
      </c>
      <c r="CR62" s="737" t="str">
        <f t="shared" si="32"/>
        <v/>
      </c>
      <c r="CS62" s="737" t="str">
        <f t="shared" si="33"/>
        <v/>
      </c>
      <c r="CT62" s="737" t="str">
        <f t="shared" si="34"/>
        <v/>
      </c>
      <c r="CU62" s="726" t="str">
        <f>IF($B62=0,"",SUMIFS(INPUT_DATA!AR:AR,INPUT_DATA!$A:$A,$B62,INPUT_DATA!$C:$C,"D"))</f>
        <v/>
      </c>
      <c r="CV62" s="726" t="str">
        <f>IF($B62=0,"",SUMIFS(INPUT_DATA!AS:AS,INPUT_DATA!$A:$A,$B62,INPUT_DATA!$C:$C,"D"))</f>
        <v/>
      </c>
      <c r="CW62" s="726" t="str">
        <f>IF($B62=0,"",SUMIFS(INPUT_DATA!AT:AT,INPUT_DATA!$A:$A,$B62,INPUT_DATA!$C:$C,"D"))</f>
        <v/>
      </c>
      <c r="CX62" s="726" t="str">
        <f t="shared" si="35"/>
        <v/>
      </c>
      <c r="CY62" s="737" t="str">
        <f t="shared" si="36"/>
        <v/>
      </c>
      <c r="CZ62" s="748" t="str">
        <f t="shared" si="37"/>
        <v/>
      </c>
      <c r="DA62" s="150"/>
    </row>
    <row r="63" spans="1:105" x14ac:dyDescent="0.2">
      <c r="A63" s="172">
        <f t="shared" si="40"/>
        <v>-16</v>
      </c>
      <c r="B63" s="720">
        <f>INPUT_DATA!BQ50</f>
        <v>0</v>
      </c>
      <c r="C63" s="725" t="str">
        <f>IF($B63=0,"",SUMIFS(INPUT_DATA!D:D,INPUT_DATA!$A:$A,$B63,INPUT_DATA!$C:$C,"S"))</f>
        <v/>
      </c>
      <c r="D63" s="726" t="str">
        <f>IF($B63=0,"",SUMIFS(INPUT_DATA!E:E,INPUT_DATA!$A:$A,$B63,INPUT_DATA!$C:$C,"S"))</f>
        <v/>
      </c>
      <c r="E63" s="727" t="str">
        <f>IF($B63=0,"",SUMIFS(INPUT_DATA!F:F,INPUT_DATA!$A:$A,$B63,INPUT_DATA!$C:$C,"S"))</f>
        <v/>
      </c>
      <c r="F63" s="727" t="str">
        <f>IF($B63=0,"",SUMIFS(INPUT_DATA!G:G,INPUT_DATA!$A:$A,$B63,INPUT_DATA!$C:$C,"S"))</f>
        <v/>
      </c>
      <c r="G63" s="727" t="str">
        <f>IF($B63=0,"",SUMIFS(INPUT_DATA!H:H,INPUT_DATA!$A:$A,$B63,INPUT_DATA!$C:$C,"S"))</f>
        <v/>
      </c>
      <c r="H63" s="727" t="str">
        <f>IF($B63=0,"",SUMIFS(INPUT_DATA!I:I,INPUT_DATA!$A:$A,$B63,INPUT_DATA!$C:$C,"S"))</f>
        <v/>
      </c>
      <c r="I63" s="727" t="str">
        <f>IF($B63=0,"",SUMIFS(INPUT_DATA!J:J,INPUT_DATA!$A:$A,$B63,INPUT_DATA!$C:$C,"S"))</f>
        <v/>
      </c>
      <c r="J63" s="727" t="str">
        <f>IF($B63=0,"",SUMIFS(INPUT_DATA!K:K,INPUT_DATA!$A:$A,$B63,INPUT_DATA!$C:$C,"S"))</f>
        <v/>
      </c>
      <c r="K63" s="727" t="str">
        <f>IF($B63=0,"",SUMIFS(INPUT_DATA!L:L,INPUT_DATA!$A:$A,$B63,INPUT_DATA!$C:$C,"S"))</f>
        <v/>
      </c>
      <c r="L63" s="727" t="str">
        <f>IF($B63=0,"",SUMIFS(INPUT_DATA!M:M,INPUT_DATA!$A:$A,$B63,INPUT_DATA!$C:$C,"S"))</f>
        <v/>
      </c>
      <c r="M63" s="727" t="str">
        <f>IF($B63=0,"",SUMIFS(INPUT_DATA!N:N,INPUT_DATA!$A:$A,$B63,INPUT_DATA!$C:$C,"S"))</f>
        <v/>
      </c>
      <c r="N63" s="727" t="str">
        <f>IF($B63=0,"",SUMIFS(INPUT_DATA!O:O,INPUT_DATA!$A:$A,$B63,INPUT_DATA!$C:$C,"S"))</f>
        <v/>
      </c>
      <c r="O63" s="728" t="str">
        <f t="shared" si="38"/>
        <v/>
      </c>
      <c r="P63" s="729" t="str">
        <f>IF($B63=0,"",SUMIFS(INPUT_DATA!P:P,INPUT_DATA!$A:$A,$B63,INPUT_DATA!$C:$C,"S"))</f>
        <v/>
      </c>
      <c r="Q63" s="729" t="str">
        <f t="shared" si="39"/>
        <v/>
      </c>
      <c r="R63" s="735" t="str">
        <f>IF($B63=0,"",SUMIFS(INPUT_DATA!Q:Q,INPUT_DATA!$A:$A,$B63,INPUT_DATA!$C:$C,"S"))</f>
        <v/>
      </c>
      <c r="S63" s="735" t="str">
        <f>IF($B63=0,"",SUMIFS(INPUT_DATA!R:R,INPUT_DATA!$A:$A,$B63,INPUT_DATA!$C:$C,"S"))</f>
        <v/>
      </c>
      <c r="T63" s="735" t="str">
        <f>IF($B63=0,"",SUMIFS(INPUT_DATA!S:S,INPUT_DATA!$A:$A,$B63,INPUT_DATA!$C:$C,"S"))</f>
        <v/>
      </c>
      <c r="U63" s="312" t="str">
        <f>IF($B63=0,"",SUMIFS(INPUT_DATA!T:T,INPUT_DATA!$A:$A,$B63,INPUT_DATA!$C:$C,"S"))</f>
        <v/>
      </c>
      <c r="V63" s="312" t="str">
        <f>IF($B63=0,"",SUMIFS(INPUT_DATA!U:U,INPUT_DATA!$A:$A,$B63,INPUT_DATA!$C:$C,"S"))</f>
        <v/>
      </c>
      <c r="W63" s="312" t="str">
        <f>IF($B63=0,"",SUMIFS(INPUT_DATA!V:V,INPUT_DATA!$A:$A,$B63,INPUT_DATA!$C:$C,"S"))</f>
        <v/>
      </c>
      <c r="X63" s="312" t="str">
        <f>IF($B63=0,"",SUMIFS(INPUT_DATA!W:W,INPUT_DATA!$A:$A,$B63,INPUT_DATA!$C:$C,"S"))</f>
        <v/>
      </c>
      <c r="Y63" s="312" t="str">
        <f>IF($B63=0,"",SUMIFS(INPUT_DATA!X:X,INPUT_DATA!$A:$A,$B63,INPUT_DATA!$C:$C,"S"))</f>
        <v/>
      </c>
      <c r="Z63" s="312" t="str">
        <f>IF($B63=0,"",SUMIFS(INPUT_DATA!Y:Y,INPUT_DATA!$A:$A,$B63,INPUT_DATA!$C:$C,"S"))</f>
        <v/>
      </c>
      <c r="AA63" s="312" t="str">
        <f>IF($B63=0,"",SUMIFS(INPUT_DATA!Z:Z,INPUT_DATA!$A:$A,$B63,INPUT_DATA!$C:$C,"S"))</f>
        <v/>
      </c>
      <c r="AB63" s="312" t="str">
        <f>IF($B63=0,"",SUMIFS(INPUT_DATA!AA:AA,INPUT_DATA!$A:$A,$B63,INPUT_DATA!$C:$C,"S"))</f>
        <v/>
      </c>
      <c r="AC63" s="312" t="str">
        <f>IF($B63=0,"",SUMIFS(INPUT_DATA!AB:AB,INPUT_DATA!$A:$A,$B63,INPUT_DATA!$C:$C,"S"))</f>
        <v/>
      </c>
      <c r="AD63" s="312" t="str">
        <f>IF($B63=0,"",SUMIFS(INPUT_DATA!AC:AC,INPUT_DATA!$A:$A,$B63,INPUT_DATA!$C:$C,"S"))</f>
        <v/>
      </c>
      <c r="AE63" s="312" t="str">
        <f>IF($B63=0,"",SUMIFS(INPUT_DATA!AD:AD,INPUT_DATA!$A:$A,$B63,INPUT_DATA!$C:$C,"S"))</f>
        <v/>
      </c>
      <c r="AF63" s="312" t="str">
        <f>IF($B63=0,"",SUMIFS(INPUT_DATA!AE:AE,INPUT_DATA!$A:$A,$B63,INPUT_DATA!$C:$C,"S"))</f>
        <v/>
      </c>
      <c r="AG63" s="312" t="str">
        <f>IF($B63=0,"",SUMIFS(INPUT_DATA!AF:AF,INPUT_DATA!$A:$A,$B63,INPUT_DATA!$C:$C,"S"))</f>
        <v/>
      </c>
      <c r="AH63" s="312" t="str">
        <f>IF($B63=0,"",SUMIFS(INPUT_DATA!AG:AG,INPUT_DATA!$A:$A,$B63,INPUT_DATA!$C:$C,"S"))</f>
        <v/>
      </c>
      <c r="AI63" s="312" t="str">
        <f>IF($B63=0,"",SUMIFS(INPUT_DATA!AH:AH,INPUT_DATA!$A:$A,$B63,INPUT_DATA!$C:$C,"S"))</f>
        <v/>
      </c>
      <c r="AJ63" s="312" t="str">
        <f>IF($B63=0,"",SUMIFS(INPUT_DATA!AI:AI,INPUT_DATA!$A:$A,$B63,INPUT_DATA!$C:$C,"S"))</f>
        <v/>
      </c>
      <c r="AK63" s="312" t="str">
        <f>IF($B63=0,"",SUMIFS(INPUT_DATA!AJ:AJ,INPUT_DATA!$A:$A,$B63,INPUT_DATA!$C:$C,"S"))</f>
        <v/>
      </c>
      <c r="AL63" s="312" t="str">
        <f>IF($B63=0,"",SUMIFS(INPUT_DATA!AK:AK,INPUT_DATA!$A:$A,$B63,INPUT_DATA!$C:$C,"S"))</f>
        <v/>
      </c>
      <c r="AM63" s="312" t="str">
        <f>IF($B63=0,"",SUMIFS(INPUT_DATA!AL:AL,INPUT_DATA!$A:$A,$B63,INPUT_DATA!$C:$C,"S"))</f>
        <v/>
      </c>
      <c r="AN63" s="312" t="str">
        <f>IF($B63=0,"",SUMIFS(INPUT_DATA!AM:AM,INPUT_DATA!$A:$A,$B63,INPUT_DATA!$C:$C,"S"))</f>
        <v/>
      </c>
      <c r="AO63" s="312" t="str">
        <f>IF($B63=0,"",SUMIFS(INPUT_DATA!AN:AN,INPUT_DATA!$A:$A,$B63,INPUT_DATA!$C:$C,"S"))</f>
        <v/>
      </c>
      <c r="AP63" s="312" t="str">
        <f>IF($B63=0,"",SUMIFS(INPUT_DATA!AO:AO,INPUT_DATA!$A:$A,$B63,INPUT_DATA!$C:$C,"S"))</f>
        <v/>
      </c>
      <c r="AQ63" s="312" t="str">
        <f>IF($B63=0,"",SUMIFS(INPUT_DATA!AP:AP,INPUT_DATA!$A:$A,$B63,INPUT_DATA!$C:$C,"S"))</f>
        <v/>
      </c>
      <c r="AR63" s="312" t="str">
        <f>IF($B63=0,"",SUMIFS(INPUT_DATA!AQ:AQ,INPUT_DATA!$A:$A,$B63,INPUT_DATA!$C:$C,"S"))</f>
        <v/>
      </c>
      <c r="AS63" s="736" t="str">
        <f t="shared" si="29"/>
        <v/>
      </c>
      <c r="AT63" s="737" t="str">
        <f t="shared" si="30"/>
        <v/>
      </c>
      <c r="AU63" s="738" t="str">
        <f t="shared" si="31"/>
        <v/>
      </c>
      <c r="AV63" s="736" t="str">
        <f>IF($B63=0,"",SUMIFS(INPUT_DATA!AR:AR,INPUT_DATA!$A:$A,$B63,INPUT_DATA!$C:$C,"S"))</f>
        <v/>
      </c>
      <c r="AW63" s="737" t="str">
        <f>IF($B63=0,"",SUMIFS(INPUT_DATA!AS:AS,INPUT_DATA!$A:$A,$B63,INPUT_DATA!$C:$C,"S"))</f>
        <v/>
      </c>
      <c r="AX63" s="738" t="str">
        <f>IF($B63=0,"",SUMIFS(INPUT_DATA!AT:AT,INPUT_DATA!$A:$A,$B63,INPUT_DATA!$C:$C,"S"))</f>
        <v/>
      </c>
      <c r="AY63" s="736" t="str">
        <f t="shared" si="15"/>
        <v/>
      </c>
      <c r="AZ63" s="737" t="str">
        <f t="shared" si="16"/>
        <v/>
      </c>
      <c r="BA63" s="738" t="str">
        <f t="shared" si="17"/>
        <v/>
      </c>
      <c r="BB63" s="150"/>
      <c r="BC63" s="725" t="str">
        <f>IF($B63=0,"",SUMIFS(INPUT_DATA!D:D,INPUT_DATA!$A:$A,$B63,INPUT_DATA!$C:$C,"D"))</f>
        <v/>
      </c>
      <c r="BD63" s="311" t="str">
        <f>IF($B63=0,"",SUMIFS(INPUT_DATA!F:F,INPUT_DATA!$A:$A,$B63,INPUT_DATA!$C:$C,"D"))</f>
        <v/>
      </c>
      <c r="BE63" s="311" t="str">
        <f>IF($B63=0,"",SUMIFS(INPUT_DATA!G:G,INPUT_DATA!$A:$A,$B63,INPUT_DATA!$C:$C,"D"))</f>
        <v/>
      </c>
      <c r="BF63" s="311" t="str">
        <f>IF($B63=0,"",SUMIFS(INPUT_DATA!H:H,INPUT_DATA!$A:$A,$B63,INPUT_DATA!$C:$C,"D"))</f>
        <v/>
      </c>
      <c r="BG63" s="311" t="str">
        <f>IF($B63=0,"",SUMIFS(INPUT_DATA!I:I,INPUT_DATA!$A:$A,$B63,INPUT_DATA!$C:$C,"D"))</f>
        <v/>
      </c>
      <c r="BH63" s="311" t="str">
        <f>IF($B63=0,"",SUMIFS(INPUT_DATA!J:J,INPUT_DATA!$A:$A,$B63,INPUT_DATA!$C:$C,"D"))</f>
        <v/>
      </c>
      <c r="BI63" s="311" t="str">
        <f>IF($B63=0,"",SUMIFS(INPUT_DATA!K:K,INPUT_DATA!$A:$A,$B63,INPUT_DATA!$C:$C,"D"))</f>
        <v/>
      </c>
      <c r="BJ63" s="311" t="str">
        <f>IF($B63=0,"",SUMIFS(INPUT_DATA!L:L,INPUT_DATA!$A:$A,$B63,INPUT_DATA!$C:$C,"D"))</f>
        <v/>
      </c>
      <c r="BK63" s="311" t="str">
        <f>IF($B63=0,"",SUMIFS(INPUT_DATA!M:M,INPUT_DATA!$A:$A,$B63,INPUT_DATA!$C:$C,"D"))</f>
        <v/>
      </c>
      <c r="BL63" s="311" t="str">
        <f>IF($B63=0,"",SUMIFS(INPUT_DATA!N:N,INPUT_DATA!$A:$A,$B63,INPUT_DATA!$C:$C,"D"))</f>
        <v/>
      </c>
      <c r="BM63" s="311" t="str">
        <f>IF($B63=0,"",SUMIFS(INPUT_DATA!O:O,INPUT_DATA!$A:$A,$B63,INPUT_DATA!$C:$C,"D"))</f>
        <v/>
      </c>
      <c r="BN63" s="741" t="str">
        <f t="shared" si="18"/>
        <v/>
      </c>
      <c r="BO63" s="741" t="str">
        <f>IF($B63=0,"",SUMIFS(INPUT_DATA!O:O,INPUT_DATA!$A:$A,$B63,INPUT_DATA!$C:$C,"D"))</f>
        <v/>
      </c>
      <c r="BP63" s="741" t="str">
        <f t="shared" si="19"/>
        <v/>
      </c>
      <c r="BQ63" s="725" t="str">
        <f>IF($B63=0,"",SUMIFS(INPUT_DATA!Q:Q,INPUT_DATA!$A:$A,$B63,INPUT_DATA!$C:$C,"D"))</f>
        <v/>
      </c>
      <c r="BR63" s="747" t="str">
        <f>IF($B63=0,"",SUMIFS(INPUT_DATA!R:R,INPUT_DATA!$A:$A,$B63,INPUT_DATA!$C:$C,"D"))</f>
        <v/>
      </c>
      <c r="BS63" s="747" t="str">
        <f>IF($B63=0,"",SUMIFS(INPUT_DATA!S:S,INPUT_DATA!$A:$A,$B63,INPUT_DATA!$C:$C,"D"))</f>
        <v/>
      </c>
      <c r="BT63" s="311" t="str">
        <f>IF($B63=0,"",SUMIFS(INPUT_DATA!T:T,INPUT_DATA!$A:$A,$B63,INPUT_DATA!$C:$C,"D"))</f>
        <v/>
      </c>
      <c r="BU63" s="311" t="str">
        <f>IF($B63=0,"",SUMIFS(INPUT_DATA!U:U,INPUT_DATA!$A:$A,$B63,INPUT_DATA!$C:$C,"D"))</f>
        <v/>
      </c>
      <c r="BV63" s="311" t="str">
        <f>IF($B63=0,"",SUMIFS(INPUT_DATA!V:V,INPUT_DATA!$A:$A,$B63,INPUT_DATA!$C:$C,"D"))</f>
        <v/>
      </c>
      <c r="BW63" s="311" t="str">
        <f>IF($B63=0,"",SUMIFS(INPUT_DATA!W:W,INPUT_DATA!$A:$A,$B63,INPUT_DATA!$C:$C,"D"))</f>
        <v/>
      </c>
      <c r="BX63" s="311" t="str">
        <f>IF($B63=0,"",SUMIFS(INPUT_DATA!X:X,INPUT_DATA!$A:$A,$B63,INPUT_DATA!$C:$C,"D"))</f>
        <v/>
      </c>
      <c r="BY63" s="311" t="str">
        <f>IF($B63=0,"",SUMIFS(INPUT_DATA!Y:Y,INPUT_DATA!$A:$A,$B63,INPUT_DATA!$C:$C,"D"))</f>
        <v/>
      </c>
      <c r="BZ63" s="352" t="str">
        <f>IF($B63=0,"",SUMIFS(INPUT_DATA!Z:Z,INPUT_DATA!$A:$A,$B63,INPUT_DATA!$C:$C,"D"))</f>
        <v/>
      </c>
      <c r="CA63" s="352" t="str">
        <f>IF($B63=0,"",SUMIFS(INPUT_DATA!AA:AA,INPUT_DATA!$A:$A,$B63,INPUT_DATA!$C:$C,"D"))</f>
        <v/>
      </c>
      <c r="CB63" s="352" t="str">
        <f>IF($B63=0,"",SUMIFS(INPUT_DATA!AB:AB,INPUT_DATA!$A:$A,$B63,INPUT_DATA!$C:$C,"D"))</f>
        <v/>
      </c>
      <c r="CC63" s="311" t="str">
        <f>IF($B63=0,"",SUMIFS(INPUT_DATA!AC:AC,INPUT_DATA!$A:$A,$B63,INPUT_DATA!$C:$C,"D"))</f>
        <v/>
      </c>
      <c r="CD63" s="311" t="str">
        <f>IF($B63=0,"",SUMIFS(INPUT_DATA!AD:AD,INPUT_DATA!$A:$A,$B63,INPUT_DATA!$C:$C,"D"))</f>
        <v/>
      </c>
      <c r="CE63" s="311" t="str">
        <f>IF($B63=0,"",SUMIFS(INPUT_DATA!AE:AE,INPUT_DATA!$A:$A,$B63,INPUT_DATA!$C:$C,"D"))</f>
        <v/>
      </c>
      <c r="CF63" s="352" t="str">
        <f>IF($B63=0,"",SUMIFS(INPUT_DATA!AF:AF,INPUT_DATA!$A:$A,$B63,INPUT_DATA!$C:$C,"D"))</f>
        <v/>
      </c>
      <c r="CG63" s="352" t="str">
        <f>IF($B63=0,"",SUMIFS(INPUT_DATA!AG:AG,INPUT_DATA!$A:$A,$B63,INPUT_DATA!$C:$C,"D"))</f>
        <v/>
      </c>
      <c r="CH63" s="352" t="str">
        <f>IF($B63=0,"",SUMIFS(INPUT_DATA!AH:AH,INPUT_DATA!$A:$A,$B63,INPUT_DATA!$C:$C,"D"))</f>
        <v/>
      </c>
      <c r="CI63" s="153" t="str">
        <f>IF($B63=0,"",SUMIFS(INPUT_DATA!AI:AI,INPUT_DATA!$A:$A,$B63,INPUT_DATA!$C:$C,"D"))</f>
        <v/>
      </c>
      <c r="CJ63" s="153" t="str">
        <f>IF($B63=0,"",SUMIFS(INPUT_DATA!AJ:AJ,INPUT_DATA!$A:$A,$B63,INPUT_DATA!$C:$C,"D"))</f>
        <v/>
      </c>
      <c r="CK63" s="153" t="str">
        <f>IF($B63=0,"",SUMIFS(INPUT_DATA!AK:AK,INPUT_DATA!$A:$A,$B63,INPUT_DATA!$C:$C,"D"))</f>
        <v/>
      </c>
      <c r="CL63" s="153" t="str">
        <f>IF($B63=0,"",SUMIFS(INPUT_DATA!AL:AL,INPUT_DATA!$A:$A,$B63,INPUT_DATA!$C:$C,"D"))</f>
        <v/>
      </c>
      <c r="CM63" s="153" t="str">
        <f>IF($B63=0,"",SUMIFS(INPUT_DATA!AM:AM,INPUT_DATA!$A:$A,$B63,INPUT_DATA!$C:$C,"D"))</f>
        <v/>
      </c>
      <c r="CN63" s="153" t="str">
        <f>IF($B63=0,"",SUMIFS(INPUT_DATA!AN:AN,INPUT_DATA!$A:$A,$B63,INPUT_DATA!$C:$C,"D"))</f>
        <v/>
      </c>
      <c r="CO63" s="153" t="str">
        <f>IF($B63=0,"",SUMIFS(INPUT_DATA!AO:AO,INPUT_DATA!$A:$A,$B63,INPUT_DATA!$C:$C,"D"))</f>
        <v/>
      </c>
      <c r="CP63" s="153" t="str">
        <f>IF($B63=0,"",SUMIFS(INPUT_DATA!AP:AP,INPUT_DATA!$A:$A,$B63,INPUT_DATA!$C:$C,"D"))</f>
        <v/>
      </c>
      <c r="CQ63" s="153" t="str">
        <f>IF($B63=0,"",SUMIFS(INPUT_DATA!AQ:AQ,INPUT_DATA!$A:$A,$B63,INPUT_DATA!$C:$C,"D"))</f>
        <v/>
      </c>
      <c r="CR63" s="737" t="str">
        <f t="shared" si="32"/>
        <v/>
      </c>
      <c r="CS63" s="737" t="str">
        <f t="shared" si="33"/>
        <v/>
      </c>
      <c r="CT63" s="737" t="str">
        <f t="shared" si="34"/>
        <v/>
      </c>
      <c r="CU63" s="726" t="str">
        <f>IF($B63=0,"",SUMIFS(INPUT_DATA!AR:AR,INPUT_DATA!$A:$A,$B63,INPUT_DATA!$C:$C,"D"))</f>
        <v/>
      </c>
      <c r="CV63" s="726" t="str">
        <f>IF($B63=0,"",SUMIFS(INPUT_DATA!AS:AS,INPUT_DATA!$A:$A,$B63,INPUT_DATA!$C:$C,"D"))</f>
        <v/>
      </c>
      <c r="CW63" s="726" t="str">
        <f>IF($B63=0,"",SUMIFS(INPUT_DATA!AT:AT,INPUT_DATA!$A:$A,$B63,INPUT_DATA!$C:$C,"D"))</f>
        <v/>
      </c>
      <c r="CX63" s="726" t="str">
        <f t="shared" si="35"/>
        <v/>
      </c>
      <c r="CY63" s="737" t="str">
        <f t="shared" si="36"/>
        <v/>
      </c>
      <c r="CZ63" s="748" t="str">
        <f t="shared" si="37"/>
        <v/>
      </c>
      <c r="DA63" s="150"/>
    </row>
    <row r="64" spans="1:105" x14ac:dyDescent="0.2">
      <c r="A64" s="172">
        <f t="shared" si="40"/>
        <v>-17</v>
      </c>
      <c r="B64" s="720">
        <f>INPUT_DATA!BQ51</f>
        <v>0</v>
      </c>
      <c r="C64" s="725" t="str">
        <f>IF($B64=0,"",SUMIFS(INPUT_DATA!D:D,INPUT_DATA!$A:$A,$B64,INPUT_DATA!$C:$C,"S"))</f>
        <v/>
      </c>
      <c r="D64" s="726" t="str">
        <f>IF($B64=0,"",SUMIFS(INPUT_DATA!E:E,INPUT_DATA!$A:$A,$B64,INPUT_DATA!$C:$C,"S"))</f>
        <v/>
      </c>
      <c r="E64" s="727" t="str">
        <f>IF($B64=0,"",SUMIFS(INPUT_DATA!F:F,INPUT_DATA!$A:$A,$B64,INPUT_DATA!$C:$C,"S"))</f>
        <v/>
      </c>
      <c r="F64" s="727" t="str">
        <f>IF($B64=0,"",SUMIFS(INPUT_DATA!G:G,INPUT_DATA!$A:$A,$B64,INPUT_DATA!$C:$C,"S"))</f>
        <v/>
      </c>
      <c r="G64" s="727" t="str">
        <f>IF($B64=0,"",SUMIFS(INPUT_DATA!H:H,INPUT_DATA!$A:$A,$B64,INPUT_DATA!$C:$C,"S"))</f>
        <v/>
      </c>
      <c r="H64" s="727" t="str">
        <f>IF($B64=0,"",SUMIFS(INPUT_DATA!I:I,INPUT_DATA!$A:$A,$B64,INPUT_DATA!$C:$C,"S"))</f>
        <v/>
      </c>
      <c r="I64" s="727" t="str">
        <f>IF($B64=0,"",SUMIFS(INPUT_DATA!J:J,INPUT_DATA!$A:$A,$B64,INPUT_DATA!$C:$C,"S"))</f>
        <v/>
      </c>
      <c r="J64" s="727" t="str">
        <f>IF($B64=0,"",SUMIFS(INPUT_DATA!K:K,INPUT_DATA!$A:$A,$B64,INPUT_DATA!$C:$C,"S"))</f>
        <v/>
      </c>
      <c r="K64" s="727" t="str">
        <f>IF($B64=0,"",SUMIFS(INPUT_DATA!L:L,INPUT_DATA!$A:$A,$B64,INPUT_DATA!$C:$C,"S"))</f>
        <v/>
      </c>
      <c r="L64" s="727" t="str">
        <f>IF($B64=0,"",SUMIFS(INPUT_DATA!M:M,INPUT_DATA!$A:$A,$B64,INPUT_DATA!$C:$C,"S"))</f>
        <v/>
      </c>
      <c r="M64" s="727" t="str">
        <f>IF($B64=0,"",SUMIFS(INPUT_DATA!N:N,INPUT_DATA!$A:$A,$B64,INPUT_DATA!$C:$C,"S"))</f>
        <v/>
      </c>
      <c r="N64" s="727" t="str">
        <f>IF($B64=0,"",SUMIFS(INPUT_DATA!O:O,INPUT_DATA!$A:$A,$B64,INPUT_DATA!$C:$C,"S"))</f>
        <v/>
      </c>
      <c r="O64" s="728" t="str">
        <f t="shared" si="38"/>
        <v/>
      </c>
      <c r="P64" s="729" t="str">
        <f>IF($B64=0,"",SUMIFS(INPUT_DATA!P:P,INPUT_DATA!$A:$A,$B64,INPUT_DATA!$C:$C,"S"))</f>
        <v/>
      </c>
      <c r="Q64" s="729" t="str">
        <f t="shared" si="39"/>
        <v/>
      </c>
      <c r="R64" s="735" t="str">
        <f>IF($B64=0,"",SUMIFS(INPUT_DATA!Q:Q,INPUT_DATA!$A:$A,$B64,INPUT_DATA!$C:$C,"S"))</f>
        <v/>
      </c>
      <c r="S64" s="735" t="str">
        <f>IF($B64=0,"",SUMIFS(INPUT_DATA!R:R,INPUT_DATA!$A:$A,$B64,INPUT_DATA!$C:$C,"S"))</f>
        <v/>
      </c>
      <c r="T64" s="735" t="str">
        <f>IF($B64=0,"",SUMIFS(INPUT_DATA!S:S,INPUT_DATA!$A:$A,$B64,INPUT_DATA!$C:$C,"S"))</f>
        <v/>
      </c>
      <c r="U64" s="312" t="str">
        <f>IF($B64=0,"",SUMIFS(INPUT_DATA!T:T,INPUT_DATA!$A:$A,$B64,INPUT_DATA!$C:$C,"S"))</f>
        <v/>
      </c>
      <c r="V64" s="312" t="str">
        <f>IF($B64=0,"",SUMIFS(INPUT_DATA!U:U,INPUT_DATA!$A:$A,$B64,INPUT_DATA!$C:$C,"S"))</f>
        <v/>
      </c>
      <c r="W64" s="312" t="str">
        <f>IF($B64=0,"",SUMIFS(INPUT_DATA!V:V,INPUT_DATA!$A:$A,$B64,INPUT_DATA!$C:$C,"S"))</f>
        <v/>
      </c>
      <c r="X64" s="312" t="str">
        <f>IF($B64=0,"",SUMIFS(INPUT_DATA!W:W,INPUT_DATA!$A:$A,$B64,INPUT_DATA!$C:$C,"S"))</f>
        <v/>
      </c>
      <c r="Y64" s="312" t="str">
        <f>IF($B64=0,"",SUMIFS(INPUT_DATA!X:X,INPUT_DATA!$A:$A,$B64,INPUT_DATA!$C:$C,"S"))</f>
        <v/>
      </c>
      <c r="Z64" s="312" t="str">
        <f>IF($B64=0,"",SUMIFS(INPUT_DATA!Y:Y,INPUT_DATA!$A:$A,$B64,INPUT_DATA!$C:$C,"S"))</f>
        <v/>
      </c>
      <c r="AA64" s="312" t="str">
        <f>IF($B64=0,"",SUMIFS(INPUT_DATA!Z:Z,INPUT_DATA!$A:$A,$B64,INPUT_DATA!$C:$C,"S"))</f>
        <v/>
      </c>
      <c r="AB64" s="312" t="str">
        <f>IF($B64=0,"",SUMIFS(INPUT_DATA!AA:AA,INPUT_DATA!$A:$A,$B64,INPUT_DATA!$C:$C,"S"))</f>
        <v/>
      </c>
      <c r="AC64" s="312" t="str">
        <f>IF($B64=0,"",SUMIFS(INPUT_DATA!AB:AB,INPUT_DATA!$A:$A,$B64,INPUT_DATA!$C:$C,"S"))</f>
        <v/>
      </c>
      <c r="AD64" s="312" t="str">
        <f>IF($B64=0,"",SUMIFS(INPUT_DATA!AC:AC,INPUT_DATA!$A:$A,$B64,INPUT_DATA!$C:$C,"S"))</f>
        <v/>
      </c>
      <c r="AE64" s="312" t="str">
        <f>IF($B64=0,"",SUMIFS(INPUT_DATA!AD:AD,INPUT_DATA!$A:$A,$B64,INPUT_DATA!$C:$C,"S"))</f>
        <v/>
      </c>
      <c r="AF64" s="312" t="str">
        <f>IF($B64=0,"",SUMIFS(INPUT_DATA!AE:AE,INPUT_DATA!$A:$A,$B64,INPUT_DATA!$C:$C,"S"))</f>
        <v/>
      </c>
      <c r="AG64" s="312" t="str">
        <f>IF($B64=0,"",SUMIFS(INPUT_DATA!AF:AF,INPUT_DATA!$A:$A,$B64,INPUT_DATA!$C:$C,"S"))</f>
        <v/>
      </c>
      <c r="AH64" s="312" t="str">
        <f>IF($B64=0,"",SUMIFS(INPUT_DATA!AG:AG,INPUT_DATA!$A:$A,$B64,INPUT_DATA!$C:$C,"S"))</f>
        <v/>
      </c>
      <c r="AI64" s="312" t="str">
        <f>IF($B64=0,"",SUMIFS(INPUT_DATA!AH:AH,INPUT_DATA!$A:$A,$B64,INPUT_DATA!$C:$C,"S"))</f>
        <v/>
      </c>
      <c r="AJ64" s="312" t="str">
        <f>IF($B64=0,"",SUMIFS(INPUT_DATA!AI:AI,INPUT_DATA!$A:$A,$B64,INPUT_DATA!$C:$C,"S"))</f>
        <v/>
      </c>
      <c r="AK64" s="312" t="str">
        <f>IF($B64=0,"",SUMIFS(INPUT_DATA!AJ:AJ,INPUT_DATA!$A:$A,$B64,INPUT_DATA!$C:$C,"S"))</f>
        <v/>
      </c>
      <c r="AL64" s="312" t="str">
        <f>IF($B64=0,"",SUMIFS(INPUT_DATA!AK:AK,INPUT_DATA!$A:$A,$B64,INPUT_DATA!$C:$C,"S"))</f>
        <v/>
      </c>
      <c r="AM64" s="312" t="str">
        <f>IF($B64=0,"",SUMIFS(INPUT_DATA!AL:AL,INPUT_DATA!$A:$A,$B64,INPUT_DATA!$C:$C,"S"))</f>
        <v/>
      </c>
      <c r="AN64" s="312" t="str">
        <f>IF($B64=0,"",SUMIFS(INPUT_DATA!AM:AM,INPUT_DATA!$A:$A,$B64,INPUT_DATA!$C:$C,"S"))</f>
        <v/>
      </c>
      <c r="AO64" s="312" t="str">
        <f>IF($B64=0,"",SUMIFS(INPUT_DATA!AN:AN,INPUT_DATA!$A:$A,$B64,INPUT_DATA!$C:$C,"S"))</f>
        <v/>
      </c>
      <c r="AP64" s="312" t="str">
        <f>IF($B64=0,"",SUMIFS(INPUT_DATA!AO:AO,INPUT_DATA!$A:$A,$B64,INPUT_DATA!$C:$C,"S"))</f>
        <v/>
      </c>
      <c r="AQ64" s="312" t="str">
        <f>IF($B64=0,"",SUMIFS(INPUT_DATA!AP:AP,INPUT_DATA!$A:$A,$B64,INPUT_DATA!$C:$C,"S"))</f>
        <v/>
      </c>
      <c r="AR64" s="312" t="str">
        <f>IF($B64=0,"",SUMIFS(INPUT_DATA!AQ:AQ,INPUT_DATA!$A:$A,$B64,INPUT_DATA!$C:$C,"S"))</f>
        <v/>
      </c>
      <c r="AS64" s="736" t="str">
        <f t="shared" si="29"/>
        <v/>
      </c>
      <c r="AT64" s="737" t="str">
        <f t="shared" si="30"/>
        <v/>
      </c>
      <c r="AU64" s="738" t="str">
        <f t="shared" si="31"/>
        <v/>
      </c>
      <c r="AV64" s="736" t="str">
        <f>IF($B64=0,"",SUMIFS(INPUT_DATA!AR:AR,INPUT_DATA!$A:$A,$B64,INPUT_DATA!$C:$C,"S"))</f>
        <v/>
      </c>
      <c r="AW64" s="737" t="str">
        <f>IF($B64=0,"",SUMIFS(INPUT_DATA!AS:AS,INPUT_DATA!$A:$A,$B64,INPUT_DATA!$C:$C,"S"))</f>
        <v/>
      </c>
      <c r="AX64" s="738" t="str">
        <f>IF($B64=0,"",SUMIFS(INPUT_DATA!AT:AT,INPUT_DATA!$A:$A,$B64,INPUT_DATA!$C:$C,"S"))</f>
        <v/>
      </c>
      <c r="AY64" s="736" t="str">
        <f t="shared" si="15"/>
        <v/>
      </c>
      <c r="AZ64" s="737" t="str">
        <f t="shared" si="16"/>
        <v/>
      </c>
      <c r="BA64" s="738" t="str">
        <f t="shared" si="17"/>
        <v/>
      </c>
      <c r="BB64" s="150"/>
      <c r="BC64" s="725" t="str">
        <f>IF($B64=0,"",SUMIFS(INPUT_DATA!D:D,INPUT_DATA!$A:$A,$B64,INPUT_DATA!$C:$C,"D"))</f>
        <v/>
      </c>
      <c r="BD64" s="311" t="str">
        <f>IF($B64=0,"",SUMIFS(INPUT_DATA!F:F,INPUT_DATA!$A:$A,$B64,INPUT_DATA!$C:$C,"D"))</f>
        <v/>
      </c>
      <c r="BE64" s="311" t="str">
        <f>IF($B64=0,"",SUMIFS(INPUT_DATA!G:G,INPUT_DATA!$A:$A,$B64,INPUT_DATA!$C:$C,"D"))</f>
        <v/>
      </c>
      <c r="BF64" s="311" t="str">
        <f>IF($B64=0,"",SUMIFS(INPUT_DATA!H:H,INPUT_DATA!$A:$A,$B64,INPUT_DATA!$C:$C,"D"))</f>
        <v/>
      </c>
      <c r="BG64" s="311" t="str">
        <f>IF($B64=0,"",SUMIFS(INPUT_DATA!I:I,INPUT_DATA!$A:$A,$B64,INPUT_DATA!$C:$C,"D"))</f>
        <v/>
      </c>
      <c r="BH64" s="311" t="str">
        <f>IF($B64=0,"",SUMIFS(INPUT_DATA!J:J,INPUT_DATA!$A:$A,$B64,INPUT_DATA!$C:$C,"D"))</f>
        <v/>
      </c>
      <c r="BI64" s="311" t="str">
        <f>IF($B64=0,"",SUMIFS(INPUT_DATA!K:K,INPUT_DATA!$A:$A,$B64,INPUT_DATA!$C:$C,"D"))</f>
        <v/>
      </c>
      <c r="BJ64" s="311" t="str">
        <f>IF($B64=0,"",SUMIFS(INPUT_DATA!L:L,INPUT_DATA!$A:$A,$B64,INPUT_DATA!$C:$C,"D"))</f>
        <v/>
      </c>
      <c r="BK64" s="311" t="str">
        <f>IF($B64=0,"",SUMIFS(INPUT_DATA!M:M,INPUT_DATA!$A:$A,$B64,INPUT_DATA!$C:$C,"D"))</f>
        <v/>
      </c>
      <c r="BL64" s="311" t="str">
        <f>IF($B64=0,"",SUMIFS(INPUT_DATA!N:N,INPUT_DATA!$A:$A,$B64,INPUT_DATA!$C:$C,"D"))</f>
        <v/>
      </c>
      <c r="BM64" s="311" t="str">
        <f>IF($B64=0,"",SUMIFS(INPUT_DATA!O:O,INPUT_DATA!$A:$A,$B64,INPUT_DATA!$C:$C,"D"))</f>
        <v/>
      </c>
      <c r="BN64" s="741" t="str">
        <f t="shared" si="18"/>
        <v/>
      </c>
      <c r="BO64" s="741" t="str">
        <f>IF($B64=0,"",SUMIFS(INPUT_DATA!O:O,INPUT_DATA!$A:$A,$B64,INPUT_DATA!$C:$C,"D"))</f>
        <v/>
      </c>
      <c r="BP64" s="741" t="str">
        <f t="shared" si="19"/>
        <v/>
      </c>
      <c r="BQ64" s="725" t="str">
        <f>IF($B64=0,"",SUMIFS(INPUT_DATA!Q:Q,INPUT_DATA!$A:$A,$B64,INPUT_DATA!$C:$C,"D"))</f>
        <v/>
      </c>
      <c r="BR64" s="747" t="str">
        <f>IF($B64=0,"",SUMIFS(INPUT_DATA!R:R,INPUT_DATA!$A:$A,$B64,INPUT_DATA!$C:$C,"D"))</f>
        <v/>
      </c>
      <c r="BS64" s="747" t="str">
        <f>IF($B64=0,"",SUMIFS(INPUT_DATA!S:S,INPUT_DATA!$A:$A,$B64,INPUT_DATA!$C:$C,"D"))</f>
        <v/>
      </c>
      <c r="BT64" s="311" t="str">
        <f>IF($B64=0,"",SUMIFS(INPUT_DATA!T:T,INPUT_DATA!$A:$A,$B64,INPUT_DATA!$C:$C,"D"))</f>
        <v/>
      </c>
      <c r="BU64" s="311" t="str">
        <f>IF($B64=0,"",SUMIFS(INPUT_DATA!U:U,INPUT_DATA!$A:$A,$B64,INPUT_DATA!$C:$C,"D"))</f>
        <v/>
      </c>
      <c r="BV64" s="311" t="str">
        <f>IF($B64=0,"",SUMIFS(INPUT_DATA!V:V,INPUT_DATA!$A:$A,$B64,INPUT_DATA!$C:$C,"D"))</f>
        <v/>
      </c>
      <c r="BW64" s="311" t="str">
        <f>IF($B64=0,"",SUMIFS(INPUT_DATA!W:W,INPUT_DATA!$A:$A,$B64,INPUT_DATA!$C:$C,"D"))</f>
        <v/>
      </c>
      <c r="BX64" s="311" t="str">
        <f>IF($B64=0,"",SUMIFS(INPUT_DATA!X:X,INPUT_DATA!$A:$A,$B64,INPUT_DATA!$C:$C,"D"))</f>
        <v/>
      </c>
      <c r="BY64" s="311" t="str">
        <f>IF($B64=0,"",SUMIFS(INPUT_DATA!Y:Y,INPUT_DATA!$A:$A,$B64,INPUT_DATA!$C:$C,"D"))</f>
        <v/>
      </c>
      <c r="BZ64" s="352" t="str">
        <f>IF($B64=0,"",SUMIFS(INPUT_DATA!Z:Z,INPUT_DATA!$A:$A,$B64,INPUT_DATA!$C:$C,"D"))</f>
        <v/>
      </c>
      <c r="CA64" s="352" t="str">
        <f>IF($B64=0,"",SUMIFS(INPUT_DATA!AA:AA,INPUT_DATA!$A:$A,$B64,INPUT_DATA!$C:$C,"D"))</f>
        <v/>
      </c>
      <c r="CB64" s="352" t="str">
        <f>IF($B64=0,"",SUMIFS(INPUT_DATA!AB:AB,INPUT_DATA!$A:$A,$B64,INPUT_DATA!$C:$C,"D"))</f>
        <v/>
      </c>
      <c r="CC64" s="311" t="str">
        <f>IF($B64=0,"",SUMIFS(INPUT_DATA!AC:AC,INPUT_DATA!$A:$A,$B64,INPUT_DATA!$C:$C,"D"))</f>
        <v/>
      </c>
      <c r="CD64" s="311" t="str">
        <f>IF($B64=0,"",SUMIFS(INPUT_DATA!AD:AD,INPUT_DATA!$A:$A,$B64,INPUT_DATA!$C:$C,"D"))</f>
        <v/>
      </c>
      <c r="CE64" s="311" t="str">
        <f>IF($B64=0,"",SUMIFS(INPUT_DATA!AE:AE,INPUT_DATA!$A:$A,$B64,INPUT_DATA!$C:$C,"D"))</f>
        <v/>
      </c>
      <c r="CF64" s="352" t="str">
        <f>IF($B64=0,"",SUMIFS(INPUT_DATA!AF:AF,INPUT_DATA!$A:$A,$B64,INPUT_DATA!$C:$C,"D"))</f>
        <v/>
      </c>
      <c r="CG64" s="352" t="str">
        <f>IF($B64=0,"",SUMIFS(INPUT_DATA!AG:AG,INPUT_DATA!$A:$A,$B64,INPUT_DATA!$C:$C,"D"))</f>
        <v/>
      </c>
      <c r="CH64" s="352" t="str">
        <f>IF($B64=0,"",SUMIFS(INPUT_DATA!AH:AH,INPUT_DATA!$A:$A,$B64,INPUT_DATA!$C:$C,"D"))</f>
        <v/>
      </c>
      <c r="CI64" s="153" t="str">
        <f>IF($B64=0,"",SUMIFS(INPUT_DATA!AI:AI,INPUT_DATA!$A:$A,$B64,INPUT_DATA!$C:$C,"D"))</f>
        <v/>
      </c>
      <c r="CJ64" s="153" t="str">
        <f>IF($B64=0,"",SUMIFS(INPUT_DATA!AJ:AJ,INPUT_DATA!$A:$A,$B64,INPUT_DATA!$C:$C,"D"))</f>
        <v/>
      </c>
      <c r="CK64" s="153" t="str">
        <f>IF($B64=0,"",SUMIFS(INPUT_DATA!AK:AK,INPUT_DATA!$A:$A,$B64,INPUT_DATA!$C:$C,"D"))</f>
        <v/>
      </c>
      <c r="CL64" s="153" t="str">
        <f>IF($B64=0,"",SUMIFS(INPUT_DATA!AL:AL,INPUT_DATA!$A:$A,$B64,INPUT_DATA!$C:$C,"D"))</f>
        <v/>
      </c>
      <c r="CM64" s="153" t="str">
        <f>IF($B64=0,"",SUMIFS(INPUT_DATA!AM:AM,INPUT_DATA!$A:$A,$B64,INPUT_DATA!$C:$C,"D"))</f>
        <v/>
      </c>
      <c r="CN64" s="153" t="str">
        <f>IF($B64=0,"",SUMIFS(INPUT_DATA!AN:AN,INPUT_DATA!$A:$A,$B64,INPUT_DATA!$C:$C,"D"))</f>
        <v/>
      </c>
      <c r="CO64" s="153" t="str">
        <f>IF($B64=0,"",SUMIFS(INPUT_DATA!AO:AO,INPUT_DATA!$A:$A,$B64,INPUT_DATA!$C:$C,"D"))</f>
        <v/>
      </c>
      <c r="CP64" s="153" t="str">
        <f>IF($B64=0,"",SUMIFS(INPUT_DATA!AP:AP,INPUT_DATA!$A:$A,$B64,INPUT_DATA!$C:$C,"D"))</f>
        <v/>
      </c>
      <c r="CQ64" s="153" t="str">
        <f>IF($B64=0,"",SUMIFS(INPUT_DATA!AQ:AQ,INPUT_DATA!$A:$A,$B64,INPUT_DATA!$C:$C,"D"))</f>
        <v/>
      </c>
      <c r="CR64" s="737" t="str">
        <f t="shared" si="32"/>
        <v/>
      </c>
      <c r="CS64" s="737" t="str">
        <f t="shared" si="33"/>
        <v/>
      </c>
      <c r="CT64" s="737" t="str">
        <f t="shared" si="34"/>
        <v/>
      </c>
      <c r="CU64" s="726" t="str">
        <f>IF($B64=0,"",SUMIFS(INPUT_DATA!AR:AR,INPUT_DATA!$A:$A,$B64,INPUT_DATA!$C:$C,"D"))</f>
        <v/>
      </c>
      <c r="CV64" s="726" t="str">
        <f>IF($B64=0,"",SUMIFS(INPUT_DATA!AS:AS,INPUT_DATA!$A:$A,$B64,INPUT_DATA!$C:$C,"D"))</f>
        <v/>
      </c>
      <c r="CW64" s="726" t="str">
        <f>IF($B64=0,"",SUMIFS(INPUT_DATA!AT:AT,INPUT_DATA!$A:$A,$B64,INPUT_DATA!$C:$C,"D"))</f>
        <v/>
      </c>
      <c r="CX64" s="726" t="str">
        <f t="shared" si="35"/>
        <v/>
      </c>
      <c r="CY64" s="737" t="str">
        <f t="shared" si="36"/>
        <v/>
      </c>
      <c r="CZ64" s="748" t="str">
        <f t="shared" si="37"/>
        <v/>
      </c>
      <c r="DA64" s="150"/>
    </row>
    <row r="65" spans="1:105" x14ac:dyDescent="0.2">
      <c r="A65" s="172">
        <f t="shared" si="40"/>
        <v>-18</v>
      </c>
      <c r="B65" s="720">
        <f>INPUT_DATA!BQ52</f>
        <v>0</v>
      </c>
      <c r="C65" s="725" t="str">
        <f>IF($B65=0,"",SUMIFS(INPUT_DATA!D:D,INPUT_DATA!$A:$A,$B65,INPUT_DATA!$C:$C,"S"))</f>
        <v/>
      </c>
      <c r="D65" s="726" t="str">
        <f>IF($B65=0,"",SUMIFS(INPUT_DATA!E:E,INPUT_DATA!$A:$A,$B65,INPUT_DATA!$C:$C,"S"))</f>
        <v/>
      </c>
      <c r="E65" s="727" t="str">
        <f>IF($B65=0,"",SUMIFS(INPUT_DATA!F:F,INPUT_DATA!$A:$A,$B65,INPUT_DATA!$C:$C,"S"))</f>
        <v/>
      </c>
      <c r="F65" s="727" t="str">
        <f>IF($B65=0,"",SUMIFS(INPUT_DATA!G:G,INPUT_DATA!$A:$A,$B65,INPUT_DATA!$C:$C,"S"))</f>
        <v/>
      </c>
      <c r="G65" s="727" t="str">
        <f>IF($B65=0,"",SUMIFS(INPUT_DATA!H:H,INPUT_DATA!$A:$A,$B65,INPUT_DATA!$C:$C,"S"))</f>
        <v/>
      </c>
      <c r="H65" s="727" t="str">
        <f>IF($B65=0,"",SUMIFS(INPUT_DATA!I:I,INPUT_DATA!$A:$A,$B65,INPUT_DATA!$C:$C,"S"))</f>
        <v/>
      </c>
      <c r="I65" s="727" t="str">
        <f>IF($B65=0,"",SUMIFS(INPUT_DATA!J:J,INPUT_DATA!$A:$A,$B65,INPUT_DATA!$C:$C,"S"))</f>
        <v/>
      </c>
      <c r="J65" s="727" t="str">
        <f>IF($B65=0,"",SUMIFS(INPUT_DATA!K:K,INPUT_DATA!$A:$A,$B65,INPUT_DATA!$C:$C,"S"))</f>
        <v/>
      </c>
      <c r="K65" s="727" t="str">
        <f>IF($B65=0,"",SUMIFS(INPUT_DATA!L:L,INPUT_DATA!$A:$A,$B65,INPUT_DATA!$C:$C,"S"))</f>
        <v/>
      </c>
      <c r="L65" s="727" t="str">
        <f>IF($B65=0,"",SUMIFS(INPUT_DATA!M:M,INPUT_DATA!$A:$A,$B65,INPUT_DATA!$C:$C,"S"))</f>
        <v/>
      </c>
      <c r="M65" s="727" t="str">
        <f>IF($B65=0,"",SUMIFS(INPUT_DATA!N:N,INPUT_DATA!$A:$A,$B65,INPUT_DATA!$C:$C,"S"))</f>
        <v/>
      </c>
      <c r="N65" s="727" t="str">
        <f>IF($B65=0,"",SUMIFS(INPUT_DATA!O:O,INPUT_DATA!$A:$A,$B65,INPUT_DATA!$C:$C,"S"))</f>
        <v/>
      </c>
      <c r="O65" s="728" t="str">
        <f t="shared" si="38"/>
        <v/>
      </c>
      <c r="P65" s="729" t="str">
        <f>IF($B65=0,"",SUMIFS(INPUT_DATA!P:P,INPUT_DATA!$A:$A,$B65,INPUT_DATA!$C:$C,"S"))</f>
        <v/>
      </c>
      <c r="Q65" s="729" t="str">
        <f t="shared" si="39"/>
        <v/>
      </c>
      <c r="R65" s="735" t="str">
        <f>IF($B65=0,"",SUMIFS(INPUT_DATA!Q:Q,INPUT_DATA!$A:$A,$B65,INPUT_DATA!$C:$C,"S"))</f>
        <v/>
      </c>
      <c r="S65" s="735" t="str">
        <f>IF($B65=0,"",SUMIFS(INPUT_DATA!R:R,INPUT_DATA!$A:$A,$B65,INPUT_DATA!$C:$C,"S"))</f>
        <v/>
      </c>
      <c r="T65" s="735" t="str">
        <f>IF($B65=0,"",SUMIFS(INPUT_DATA!S:S,INPUT_DATA!$A:$A,$B65,INPUT_DATA!$C:$C,"S"))</f>
        <v/>
      </c>
      <c r="U65" s="312" t="str">
        <f>IF($B65=0,"",SUMIFS(INPUT_DATA!T:T,INPUT_DATA!$A:$A,$B65,INPUT_DATA!$C:$C,"S"))</f>
        <v/>
      </c>
      <c r="V65" s="312" t="str">
        <f>IF($B65=0,"",SUMIFS(INPUT_DATA!U:U,INPUT_DATA!$A:$A,$B65,INPUT_DATA!$C:$C,"S"))</f>
        <v/>
      </c>
      <c r="W65" s="312" t="str">
        <f>IF($B65=0,"",SUMIFS(INPUT_DATA!V:V,INPUT_DATA!$A:$A,$B65,INPUT_DATA!$C:$C,"S"))</f>
        <v/>
      </c>
      <c r="X65" s="312" t="str">
        <f>IF($B65=0,"",SUMIFS(INPUT_DATA!W:W,INPUT_DATA!$A:$A,$B65,INPUT_DATA!$C:$C,"S"))</f>
        <v/>
      </c>
      <c r="Y65" s="312" t="str">
        <f>IF($B65=0,"",SUMIFS(INPUT_DATA!X:X,INPUT_DATA!$A:$A,$B65,INPUT_DATA!$C:$C,"S"))</f>
        <v/>
      </c>
      <c r="Z65" s="312" t="str">
        <f>IF($B65=0,"",SUMIFS(INPUT_DATA!Y:Y,INPUT_DATA!$A:$A,$B65,INPUT_DATA!$C:$C,"S"))</f>
        <v/>
      </c>
      <c r="AA65" s="312" t="str">
        <f>IF($B65=0,"",SUMIFS(INPUT_DATA!Z:Z,INPUT_DATA!$A:$A,$B65,INPUT_DATA!$C:$C,"S"))</f>
        <v/>
      </c>
      <c r="AB65" s="312" t="str">
        <f>IF($B65=0,"",SUMIFS(INPUT_DATA!AA:AA,INPUT_DATA!$A:$A,$B65,INPUT_DATA!$C:$C,"S"))</f>
        <v/>
      </c>
      <c r="AC65" s="312" t="str">
        <f>IF($B65=0,"",SUMIFS(INPUT_DATA!AB:AB,INPUT_DATA!$A:$A,$B65,INPUT_DATA!$C:$C,"S"))</f>
        <v/>
      </c>
      <c r="AD65" s="312" t="str">
        <f>IF($B65=0,"",SUMIFS(INPUT_DATA!AC:AC,INPUT_DATA!$A:$A,$B65,INPUT_DATA!$C:$C,"S"))</f>
        <v/>
      </c>
      <c r="AE65" s="312" t="str">
        <f>IF($B65=0,"",SUMIFS(INPUT_DATA!AD:AD,INPUT_DATA!$A:$A,$B65,INPUT_DATA!$C:$C,"S"))</f>
        <v/>
      </c>
      <c r="AF65" s="312" t="str">
        <f>IF($B65=0,"",SUMIFS(INPUT_DATA!AE:AE,INPUT_DATA!$A:$A,$B65,INPUT_DATA!$C:$C,"S"))</f>
        <v/>
      </c>
      <c r="AG65" s="312" t="str">
        <f>IF($B65=0,"",SUMIFS(INPUT_DATA!AF:AF,INPUT_DATA!$A:$A,$B65,INPUT_DATA!$C:$C,"S"))</f>
        <v/>
      </c>
      <c r="AH65" s="312" t="str">
        <f>IF($B65=0,"",SUMIFS(INPUT_DATA!AG:AG,INPUT_DATA!$A:$A,$B65,INPUT_DATA!$C:$C,"S"))</f>
        <v/>
      </c>
      <c r="AI65" s="312" t="str">
        <f>IF($B65=0,"",SUMIFS(INPUT_DATA!AH:AH,INPUT_DATA!$A:$A,$B65,INPUT_DATA!$C:$C,"S"))</f>
        <v/>
      </c>
      <c r="AJ65" s="312" t="str">
        <f>IF($B65=0,"",SUMIFS(INPUT_DATA!AI:AI,INPUT_DATA!$A:$A,$B65,INPUT_DATA!$C:$C,"S"))</f>
        <v/>
      </c>
      <c r="AK65" s="312" t="str">
        <f>IF($B65=0,"",SUMIFS(INPUT_DATA!AJ:AJ,INPUT_DATA!$A:$A,$B65,INPUT_DATA!$C:$C,"S"))</f>
        <v/>
      </c>
      <c r="AL65" s="312" t="str">
        <f>IF($B65=0,"",SUMIFS(INPUT_DATA!AK:AK,INPUT_DATA!$A:$A,$B65,INPUT_DATA!$C:$C,"S"))</f>
        <v/>
      </c>
      <c r="AM65" s="312" t="str">
        <f>IF($B65=0,"",SUMIFS(INPUT_DATA!AL:AL,INPUT_DATA!$A:$A,$B65,INPUT_DATA!$C:$C,"S"))</f>
        <v/>
      </c>
      <c r="AN65" s="312" t="str">
        <f>IF($B65=0,"",SUMIFS(INPUT_DATA!AM:AM,INPUT_DATA!$A:$A,$B65,INPUT_DATA!$C:$C,"S"))</f>
        <v/>
      </c>
      <c r="AO65" s="312" t="str">
        <f>IF($B65=0,"",SUMIFS(INPUT_DATA!AN:AN,INPUT_DATA!$A:$A,$B65,INPUT_DATA!$C:$C,"S"))</f>
        <v/>
      </c>
      <c r="AP65" s="312" t="str">
        <f>IF($B65=0,"",SUMIFS(INPUT_DATA!AO:AO,INPUT_DATA!$A:$A,$B65,INPUT_DATA!$C:$C,"S"))</f>
        <v/>
      </c>
      <c r="AQ65" s="312" t="str">
        <f>IF($B65=0,"",SUMIFS(INPUT_DATA!AP:AP,INPUT_DATA!$A:$A,$B65,INPUT_DATA!$C:$C,"S"))</f>
        <v/>
      </c>
      <c r="AR65" s="312" t="str">
        <f>IF($B65=0,"",SUMIFS(INPUT_DATA!AQ:AQ,INPUT_DATA!$A:$A,$B65,INPUT_DATA!$C:$C,"S"))</f>
        <v/>
      </c>
      <c r="AS65" s="736" t="str">
        <f t="shared" si="29"/>
        <v/>
      </c>
      <c r="AT65" s="737" t="str">
        <f t="shared" si="30"/>
        <v/>
      </c>
      <c r="AU65" s="738" t="str">
        <f t="shared" si="31"/>
        <v/>
      </c>
      <c r="AV65" s="736" t="str">
        <f>IF($B65=0,"",SUMIFS(INPUT_DATA!AR:AR,INPUT_DATA!$A:$A,$B65,INPUT_DATA!$C:$C,"S"))</f>
        <v/>
      </c>
      <c r="AW65" s="737" t="str">
        <f>IF($B65=0,"",SUMIFS(INPUT_DATA!AS:AS,INPUT_DATA!$A:$A,$B65,INPUT_DATA!$C:$C,"S"))</f>
        <v/>
      </c>
      <c r="AX65" s="738" t="str">
        <f>IF($B65=0,"",SUMIFS(INPUT_DATA!AT:AT,INPUT_DATA!$A:$A,$B65,INPUT_DATA!$C:$C,"S"))</f>
        <v/>
      </c>
      <c r="AY65" s="736" t="str">
        <f t="shared" si="15"/>
        <v/>
      </c>
      <c r="AZ65" s="737" t="str">
        <f t="shared" si="16"/>
        <v/>
      </c>
      <c r="BA65" s="738" t="str">
        <f t="shared" si="17"/>
        <v/>
      </c>
      <c r="BB65" s="150"/>
      <c r="BC65" s="725" t="str">
        <f>IF($B65=0,"",SUMIFS(INPUT_DATA!D:D,INPUT_DATA!$A:$A,$B65,INPUT_DATA!$C:$C,"D"))</f>
        <v/>
      </c>
      <c r="BD65" s="311" t="str">
        <f>IF($B65=0,"",SUMIFS(INPUT_DATA!F:F,INPUT_DATA!$A:$A,$B65,INPUT_DATA!$C:$C,"D"))</f>
        <v/>
      </c>
      <c r="BE65" s="311" t="str">
        <f>IF($B65=0,"",SUMIFS(INPUT_DATA!G:G,INPUT_DATA!$A:$A,$B65,INPUT_DATA!$C:$C,"D"))</f>
        <v/>
      </c>
      <c r="BF65" s="311" t="str">
        <f>IF($B65=0,"",SUMIFS(INPUT_DATA!H:H,INPUT_DATA!$A:$A,$B65,INPUT_DATA!$C:$C,"D"))</f>
        <v/>
      </c>
      <c r="BG65" s="311" t="str">
        <f>IF($B65=0,"",SUMIFS(INPUT_DATA!I:I,INPUT_DATA!$A:$A,$B65,INPUT_DATA!$C:$C,"D"))</f>
        <v/>
      </c>
      <c r="BH65" s="311" t="str">
        <f>IF($B65=0,"",SUMIFS(INPUT_DATA!J:J,INPUT_DATA!$A:$A,$B65,INPUT_DATA!$C:$C,"D"))</f>
        <v/>
      </c>
      <c r="BI65" s="311" t="str">
        <f>IF($B65=0,"",SUMIFS(INPUT_DATA!K:K,INPUT_DATA!$A:$A,$B65,INPUT_DATA!$C:$C,"D"))</f>
        <v/>
      </c>
      <c r="BJ65" s="311" t="str">
        <f>IF($B65=0,"",SUMIFS(INPUT_DATA!L:L,INPUT_DATA!$A:$A,$B65,INPUT_DATA!$C:$C,"D"))</f>
        <v/>
      </c>
      <c r="BK65" s="311" t="str">
        <f>IF($B65=0,"",SUMIFS(INPUT_DATA!M:M,INPUT_DATA!$A:$A,$B65,INPUT_DATA!$C:$C,"D"))</f>
        <v/>
      </c>
      <c r="BL65" s="311" t="str">
        <f>IF($B65=0,"",SUMIFS(INPUT_DATA!N:N,INPUT_DATA!$A:$A,$B65,INPUT_DATA!$C:$C,"D"))</f>
        <v/>
      </c>
      <c r="BM65" s="311" t="str">
        <f>IF($B65=0,"",SUMIFS(INPUT_DATA!O:O,INPUT_DATA!$A:$A,$B65,INPUT_DATA!$C:$C,"D"))</f>
        <v/>
      </c>
      <c r="BN65" s="741" t="str">
        <f t="shared" si="18"/>
        <v/>
      </c>
      <c r="BO65" s="741" t="str">
        <f>IF($B65=0,"",SUMIFS(INPUT_DATA!O:O,INPUT_DATA!$A:$A,$B65,INPUT_DATA!$C:$C,"D"))</f>
        <v/>
      </c>
      <c r="BP65" s="741" t="str">
        <f t="shared" si="19"/>
        <v/>
      </c>
      <c r="BQ65" s="725" t="str">
        <f>IF($B65=0,"",SUMIFS(INPUT_DATA!Q:Q,INPUT_DATA!$A:$A,$B65,INPUT_DATA!$C:$C,"D"))</f>
        <v/>
      </c>
      <c r="BR65" s="747" t="str">
        <f>IF($B65=0,"",SUMIFS(INPUT_DATA!R:R,INPUT_DATA!$A:$A,$B65,INPUT_DATA!$C:$C,"D"))</f>
        <v/>
      </c>
      <c r="BS65" s="747" t="str">
        <f>IF($B65=0,"",SUMIFS(INPUT_DATA!S:S,INPUT_DATA!$A:$A,$B65,INPUT_DATA!$C:$C,"D"))</f>
        <v/>
      </c>
      <c r="BT65" s="311" t="str">
        <f>IF($B65=0,"",SUMIFS(INPUT_DATA!T:T,INPUT_DATA!$A:$A,$B65,INPUT_DATA!$C:$C,"D"))</f>
        <v/>
      </c>
      <c r="BU65" s="311" t="str">
        <f>IF($B65=0,"",SUMIFS(INPUT_DATA!U:U,INPUT_DATA!$A:$A,$B65,INPUT_DATA!$C:$C,"D"))</f>
        <v/>
      </c>
      <c r="BV65" s="311" t="str">
        <f>IF($B65=0,"",SUMIFS(INPUT_DATA!V:V,INPUT_DATA!$A:$A,$B65,INPUT_DATA!$C:$C,"D"))</f>
        <v/>
      </c>
      <c r="BW65" s="311" t="str">
        <f>IF($B65=0,"",SUMIFS(INPUT_DATA!W:W,INPUT_DATA!$A:$A,$B65,INPUT_DATA!$C:$C,"D"))</f>
        <v/>
      </c>
      <c r="BX65" s="311" t="str">
        <f>IF($B65=0,"",SUMIFS(INPUT_DATA!X:X,INPUT_DATA!$A:$A,$B65,INPUT_DATA!$C:$C,"D"))</f>
        <v/>
      </c>
      <c r="BY65" s="311" t="str">
        <f>IF($B65=0,"",SUMIFS(INPUT_DATA!Y:Y,INPUT_DATA!$A:$A,$B65,INPUT_DATA!$C:$C,"D"))</f>
        <v/>
      </c>
      <c r="BZ65" s="352" t="str">
        <f>IF($B65=0,"",SUMIFS(INPUT_DATA!Z:Z,INPUT_DATA!$A:$A,$B65,INPUT_DATA!$C:$C,"D"))</f>
        <v/>
      </c>
      <c r="CA65" s="352" t="str">
        <f>IF($B65=0,"",SUMIFS(INPUT_DATA!AA:AA,INPUT_DATA!$A:$A,$B65,INPUT_DATA!$C:$C,"D"))</f>
        <v/>
      </c>
      <c r="CB65" s="352" t="str">
        <f>IF($B65=0,"",SUMIFS(INPUT_DATA!AB:AB,INPUT_DATA!$A:$A,$B65,INPUT_DATA!$C:$C,"D"))</f>
        <v/>
      </c>
      <c r="CC65" s="311" t="str">
        <f>IF($B65=0,"",SUMIFS(INPUT_DATA!AC:AC,INPUT_DATA!$A:$A,$B65,INPUT_DATA!$C:$C,"D"))</f>
        <v/>
      </c>
      <c r="CD65" s="311" t="str">
        <f>IF($B65=0,"",SUMIFS(INPUT_DATA!AD:AD,INPUT_DATA!$A:$A,$B65,INPUT_DATA!$C:$C,"D"))</f>
        <v/>
      </c>
      <c r="CE65" s="311" t="str">
        <f>IF($B65=0,"",SUMIFS(INPUT_DATA!AE:AE,INPUT_DATA!$A:$A,$B65,INPUT_DATA!$C:$C,"D"))</f>
        <v/>
      </c>
      <c r="CF65" s="352" t="str">
        <f>IF($B65=0,"",SUMIFS(INPUT_DATA!AF:AF,INPUT_DATA!$A:$A,$B65,INPUT_DATA!$C:$C,"D"))</f>
        <v/>
      </c>
      <c r="CG65" s="352" t="str">
        <f>IF($B65=0,"",SUMIFS(INPUT_DATA!AG:AG,INPUT_DATA!$A:$A,$B65,INPUT_DATA!$C:$C,"D"))</f>
        <v/>
      </c>
      <c r="CH65" s="352" t="str">
        <f>IF($B65=0,"",SUMIFS(INPUT_DATA!AH:AH,INPUT_DATA!$A:$A,$B65,INPUT_DATA!$C:$C,"D"))</f>
        <v/>
      </c>
      <c r="CI65" s="153" t="str">
        <f>IF($B65=0,"",SUMIFS(INPUT_DATA!AI:AI,INPUT_DATA!$A:$A,$B65,INPUT_DATA!$C:$C,"D"))</f>
        <v/>
      </c>
      <c r="CJ65" s="153" t="str">
        <f>IF($B65=0,"",SUMIFS(INPUT_DATA!AJ:AJ,INPUT_DATA!$A:$A,$B65,INPUT_DATA!$C:$C,"D"))</f>
        <v/>
      </c>
      <c r="CK65" s="153" t="str">
        <f>IF($B65=0,"",SUMIFS(INPUT_DATA!AK:AK,INPUT_DATA!$A:$A,$B65,INPUT_DATA!$C:$C,"D"))</f>
        <v/>
      </c>
      <c r="CL65" s="153" t="str">
        <f>IF($B65=0,"",SUMIFS(INPUT_DATA!AL:AL,INPUT_DATA!$A:$A,$B65,INPUT_DATA!$C:$C,"D"))</f>
        <v/>
      </c>
      <c r="CM65" s="153" t="str">
        <f>IF($B65=0,"",SUMIFS(INPUT_DATA!AM:AM,INPUT_DATA!$A:$A,$B65,INPUT_DATA!$C:$C,"D"))</f>
        <v/>
      </c>
      <c r="CN65" s="153" t="str">
        <f>IF($B65=0,"",SUMIFS(INPUT_DATA!AN:AN,INPUT_DATA!$A:$A,$B65,INPUT_DATA!$C:$C,"D"))</f>
        <v/>
      </c>
      <c r="CO65" s="153" t="str">
        <f>IF($B65=0,"",SUMIFS(INPUT_DATA!AO:AO,INPUT_DATA!$A:$A,$B65,INPUT_DATA!$C:$C,"D"))</f>
        <v/>
      </c>
      <c r="CP65" s="153" t="str">
        <f>IF($B65=0,"",SUMIFS(INPUT_DATA!AP:AP,INPUT_DATA!$A:$A,$B65,INPUT_DATA!$C:$C,"D"))</f>
        <v/>
      </c>
      <c r="CQ65" s="153" t="str">
        <f>IF($B65=0,"",SUMIFS(INPUT_DATA!AQ:AQ,INPUT_DATA!$A:$A,$B65,INPUT_DATA!$C:$C,"D"))</f>
        <v/>
      </c>
      <c r="CR65" s="737" t="str">
        <f t="shared" si="32"/>
        <v/>
      </c>
      <c r="CS65" s="737" t="str">
        <f t="shared" si="33"/>
        <v/>
      </c>
      <c r="CT65" s="737" t="str">
        <f t="shared" si="34"/>
        <v/>
      </c>
      <c r="CU65" s="726" t="str">
        <f>IF($B65=0,"",SUMIFS(INPUT_DATA!AR:AR,INPUT_DATA!$A:$A,$B65,INPUT_DATA!$C:$C,"D"))</f>
        <v/>
      </c>
      <c r="CV65" s="726" t="str">
        <f>IF($B65=0,"",SUMIFS(INPUT_DATA!AS:AS,INPUT_DATA!$A:$A,$B65,INPUT_DATA!$C:$C,"D"))</f>
        <v/>
      </c>
      <c r="CW65" s="726" t="str">
        <f>IF($B65=0,"",SUMIFS(INPUT_DATA!AT:AT,INPUT_DATA!$A:$A,$B65,INPUT_DATA!$C:$C,"D"))</f>
        <v/>
      </c>
      <c r="CX65" s="726" t="str">
        <f t="shared" si="35"/>
        <v/>
      </c>
      <c r="CY65" s="737" t="str">
        <f t="shared" si="36"/>
        <v/>
      </c>
      <c r="CZ65" s="748" t="str">
        <f t="shared" si="37"/>
        <v/>
      </c>
      <c r="DA65" s="150"/>
    </row>
    <row r="66" spans="1:105" x14ac:dyDescent="0.2">
      <c r="A66" s="172">
        <f t="shared" si="40"/>
        <v>-19</v>
      </c>
      <c r="B66" s="720">
        <f>INPUT_DATA!BQ53</f>
        <v>0</v>
      </c>
      <c r="C66" s="725" t="str">
        <f>IF($B66=0,"",SUMIFS(INPUT_DATA!D:D,INPUT_DATA!$A:$A,$B66,INPUT_DATA!$C:$C,"S"))</f>
        <v/>
      </c>
      <c r="D66" s="726" t="str">
        <f>IF($B66=0,"",SUMIFS(INPUT_DATA!E:E,INPUT_DATA!$A:$A,$B66,INPUT_DATA!$C:$C,"S"))</f>
        <v/>
      </c>
      <c r="E66" s="727" t="str">
        <f>IF($B66=0,"",SUMIFS(INPUT_DATA!F:F,INPUT_DATA!$A:$A,$B66,INPUT_DATA!$C:$C,"S"))</f>
        <v/>
      </c>
      <c r="F66" s="727" t="str">
        <f>IF($B66=0,"",SUMIFS(INPUT_DATA!G:G,INPUT_DATA!$A:$A,$B66,INPUT_DATA!$C:$C,"S"))</f>
        <v/>
      </c>
      <c r="G66" s="727" t="str">
        <f>IF($B66=0,"",SUMIFS(INPUT_DATA!H:H,INPUT_DATA!$A:$A,$B66,INPUT_DATA!$C:$C,"S"))</f>
        <v/>
      </c>
      <c r="H66" s="727" t="str">
        <f>IF($B66=0,"",SUMIFS(INPUT_DATA!I:I,INPUT_DATA!$A:$A,$B66,INPUT_DATA!$C:$C,"S"))</f>
        <v/>
      </c>
      <c r="I66" s="727" t="str">
        <f>IF($B66=0,"",SUMIFS(INPUT_DATA!J:J,INPUT_DATA!$A:$A,$B66,INPUT_DATA!$C:$C,"S"))</f>
        <v/>
      </c>
      <c r="J66" s="727" t="str">
        <f>IF($B66=0,"",SUMIFS(INPUT_DATA!K:K,INPUT_DATA!$A:$A,$B66,INPUT_DATA!$C:$C,"S"))</f>
        <v/>
      </c>
      <c r="K66" s="727" t="str">
        <f>IF($B66=0,"",SUMIFS(INPUT_DATA!L:L,INPUT_DATA!$A:$A,$B66,INPUT_DATA!$C:$C,"S"))</f>
        <v/>
      </c>
      <c r="L66" s="727" t="str">
        <f>IF($B66=0,"",SUMIFS(INPUT_DATA!M:M,INPUT_DATA!$A:$A,$B66,INPUT_DATA!$C:$C,"S"))</f>
        <v/>
      </c>
      <c r="M66" s="727" t="str">
        <f>IF($B66=0,"",SUMIFS(INPUT_DATA!N:N,INPUT_DATA!$A:$A,$B66,INPUT_DATA!$C:$C,"S"))</f>
        <v/>
      </c>
      <c r="N66" s="727" t="str">
        <f>IF($B66=0,"",SUMIFS(INPUT_DATA!O:O,INPUT_DATA!$A:$A,$B66,INPUT_DATA!$C:$C,"S"))</f>
        <v/>
      </c>
      <c r="O66" s="728" t="str">
        <f t="shared" si="38"/>
        <v/>
      </c>
      <c r="P66" s="729" t="str">
        <f>IF($B66=0,"",SUMIFS(INPUT_DATA!P:P,INPUT_DATA!$A:$A,$B66,INPUT_DATA!$C:$C,"S"))</f>
        <v/>
      </c>
      <c r="Q66" s="729" t="str">
        <f t="shared" si="39"/>
        <v/>
      </c>
      <c r="R66" s="735" t="str">
        <f>IF($B66=0,"",SUMIFS(INPUT_DATA!Q:Q,INPUT_DATA!$A:$A,$B66,INPUT_DATA!$C:$C,"S"))</f>
        <v/>
      </c>
      <c r="S66" s="735" t="str">
        <f>IF($B66=0,"",SUMIFS(INPUT_DATA!R:R,INPUT_DATA!$A:$A,$B66,INPUT_DATA!$C:$C,"S"))</f>
        <v/>
      </c>
      <c r="T66" s="735" t="str">
        <f>IF($B66=0,"",SUMIFS(INPUT_DATA!S:S,INPUT_DATA!$A:$A,$B66,INPUT_DATA!$C:$C,"S"))</f>
        <v/>
      </c>
      <c r="U66" s="312" t="str">
        <f>IF($B66=0,"",SUMIFS(INPUT_DATA!T:T,INPUT_DATA!$A:$A,$B66,INPUT_DATA!$C:$C,"S"))</f>
        <v/>
      </c>
      <c r="V66" s="312" t="str">
        <f>IF($B66=0,"",SUMIFS(INPUT_DATA!U:U,INPUT_DATA!$A:$A,$B66,INPUT_DATA!$C:$C,"S"))</f>
        <v/>
      </c>
      <c r="W66" s="312" t="str">
        <f>IF($B66=0,"",SUMIFS(INPUT_DATA!V:V,INPUT_DATA!$A:$A,$B66,INPUT_DATA!$C:$C,"S"))</f>
        <v/>
      </c>
      <c r="X66" s="312" t="str">
        <f>IF($B66=0,"",SUMIFS(INPUT_DATA!W:W,INPUT_DATA!$A:$A,$B66,INPUT_DATA!$C:$C,"S"))</f>
        <v/>
      </c>
      <c r="Y66" s="312" t="str">
        <f>IF($B66=0,"",SUMIFS(INPUT_DATA!X:X,INPUT_DATA!$A:$A,$B66,INPUT_DATA!$C:$C,"S"))</f>
        <v/>
      </c>
      <c r="Z66" s="312" t="str">
        <f>IF($B66=0,"",SUMIFS(INPUT_DATA!Y:Y,INPUT_DATA!$A:$A,$B66,INPUT_DATA!$C:$C,"S"))</f>
        <v/>
      </c>
      <c r="AA66" s="312" t="str">
        <f>IF($B66=0,"",SUMIFS(INPUT_DATA!Z:Z,INPUT_DATA!$A:$A,$B66,INPUT_DATA!$C:$C,"S"))</f>
        <v/>
      </c>
      <c r="AB66" s="312" t="str">
        <f>IF($B66=0,"",SUMIFS(INPUT_DATA!AA:AA,INPUT_DATA!$A:$A,$B66,INPUT_DATA!$C:$C,"S"))</f>
        <v/>
      </c>
      <c r="AC66" s="312" t="str">
        <f>IF($B66=0,"",SUMIFS(INPUT_DATA!AB:AB,INPUT_DATA!$A:$A,$B66,INPUT_DATA!$C:$C,"S"))</f>
        <v/>
      </c>
      <c r="AD66" s="312" t="str">
        <f>IF($B66=0,"",SUMIFS(INPUT_DATA!AC:AC,INPUT_DATA!$A:$A,$B66,INPUT_DATA!$C:$C,"S"))</f>
        <v/>
      </c>
      <c r="AE66" s="312" t="str">
        <f>IF($B66=0,"",SUMIFS(INPUT_DATA!AD:AD,INPUT_DATA!$A:$A,$B66,INPUT_DATA!$C:$C,"S"))</f>
        <v/>
      </c>
      <c r="AF66" s="312" t="str">
        <f>IF($B66=0,"",SUMIFS(INPUT_DATA!AE:AE,INPUT_DATA!$A:$A,$B66,INPUT_DATA!$C:$C,"S"))</f>
        <v/>
      </c>
      <c r="AG66" s="312" t="str">
        <f>IF($B66=0,"",SUMIFS(INPUT_DATA!AF:AF,INPUT_DATA!$A:$A,$B66,INPUT_DATA!$C:$C,"S"))</f>
        <v/>
      </c>
      <c r="AH66" s="312" t="str">
        <f>IF($B66=0,"",SUMIFS(INPUT_DATA!AG:AG,INPUT_DATA!$A:$A,$B66,INPUT_DATA!$C:$C,"S"))</f>
        <v/>
      </c>
      <c r="AI66" s="312" t="str">
        <f>IF($B66=0,"",SUMIFS(INPUT_DATA!AH:AH,INPUT_DATA!$A:$A,$B66,INPUT_DATA!$C:$C,"S"))</f>
        <v/>
      </c>
      <c r="AJ66" s="312" t="str">
        <f>IF($B66=0,"",SUMIFS(INPUT_DATA!AI:AI,INPUT_DATA!$A:$A,$B66,INPUT_DATA!$C:$C,"S"))</f>
        <v/>
      </c>
      <c r="AK66" s="312" t="str">
        <f>IF($B66=0,"",SUMIFS(INPUT_DATA!AJ:AJ,INPUT_DATA!$A:$A,$B66,INPUT_DATA!$C:$C,"S"))</f>
        <v/>
      </c>
      <c r="AL66" s="312" t="str">
        <f>IF($B66=0,"",SUMIFS(INPUT_DATA!AK:AK,INPUT_DATA!$A:$A,$B66,INPUT_DATA!$C:$C,"S"))</f>
        <v/>
      </c>
      <c r="AM66" s="312" t="str">
        <f>IF($B66=0,"",SUMIFS(INPUT_DATA!AL:AL,INPUT_DATA!$A:$A,$B66,INPUT_DATA!$C:$C,"S"))</f>
        <v/>
      </c>
      <c r="AN66" s="312" t="str">
        <f>IF($B66=0,"",SUMIFS(INPUT_DATA!AM:AM,INPUT_DATA!$A:$A,$B66,INPUT_DATA!$C:$C,"S"))</f>
        <v/>
      </c>
      <c r="AO66" s="312" t="str">
        <f>IF($B66=0,"",SUMIFS(INPUT_DATA!AN:AN,INPUT_DATA!$A:$A,$B66,INPUT_DATA!$C:$C,"S"))</f>
        <v/>
      </c>
      <c r="AP66" s="312" t="str">
        <f>IF($B66=0,"",SUMIFS(INPUT_DATA!AO:AO,INPUT_DATA!$A:$A,$B66,INPUT_DATA!$C:$C,"S"))</f>
        <v/>
      </c>
      <c r="AQ66" s="312" t="str">
        <f>IF($B66=0,"",SUMIFS(INPUT_DATA!AP:AP,INPUT_DATA!$A:$A,$B66,INPUT_DATA!$C:$C,"S"))</f>
        <v/>
      </c>
      <c r="AR66" s="312" t="str">
        <f>IF($B66=0,"",SUMIFS(INPUT_DATA!AQ:AQ,INPUT_DATA!$A:$A,$B66,INPUT_DATA!$C:$C,"S"))</f>
        <v/>
      </c>
      <c r="AS66" s="736" t="str">
        <f t="shared" si="29"/>
        <v/>
      </c>
      <c r="AT66" s="737" t="str">
        <f t="shared" si="30"/>
        <v/>
      </c>
      <c r="AU66" s="738" t="str">
        <f t="shared" si="31"/>
        <v/>
      </c>
      <c r="AV66" s="736" t="str">
        <f>IF($B66=0,"",SUMIFS(INPUT_DATA!AR:AR,INPUT_DATA!$A:$A,$B66,INPUT_DATA!$C:$C,"S"))</f>
        <v/>
      </c>
      <c r="AW66" s="737" t="str">
        <f>IF($B66=0,"",SUMIFS(INPUT_DATA!AS:AS,INPUT_DATA!$A:$A,$B66,INPUT_DATA!$C:$C,"S"))</f>
        <v/>
      </c>
      <c r="AX66" s="738" t="str">
        <f>IF($B66=0,"",SUMIFS(INPUT_DATA!AT:AT,INPUT_DATA!$A:$A,$B66,INPUT_DATA!$C:$C,"S"))</f>
        <v/>
      </c>
      <c r="AY66" s="736" t="str">
        <f t="shared" si="15"/>
        <v/>
      </c>
      <c r="AZ66" s="737" t="str">
        <f t="shared" si="16"/>
        <v/>
      </c>
      <c r="BA66" s="738" t="str">
        <f t="shared" si="17"/>
        <v/>
      </c>
      <c r="BB66" s="150"/>
      <c r="BC66" s="725" t="str">
        <f>IF($B66=0,"",SUMIFS(INPUT_DATA!D:D,INPUT_DATA!$A:$A,$B66,INPUT_DATA!$C:$C,"D"))</f>
        <v/>
      </c>
      <c r="BD66" s="311" t="str">
        <f>IF($B66=0,"",SUMIFS(INPUT_DATA!F:F,INPUT_DATA!$A:$A,$B66,INPUT_DATA!$C:$C,"D"))</f>
        <v/>
      </c>
      <c r="BE66" s="311" t="str">
        <f>IF($B66=0,"",SUMIFS(INPUT_DATA!G:G,INPUT_DATA!$A:$A,$B66,INPUT_DATA!$C:$C,"D"))</f>
        <v/>
      </c>
      <c r="BF66" s="311" t="str">
        <f>IF($B66=0,"",SUMIFS(INPUT_DATA!H:H,INPUT_DATA!$A:$A,$B66,INPUT_DATA!$C:$C,"D"))</f>
        <v/>
      </c>
      <c r="BG66" s="311" t="str">
        <f>IF($B66=0,"",SUMIFS(INPUT_DATA!I:I,INPUT_DATA!$A:$A,$B66,INPUT_DATA!$C:$C,"D"))</f>
        <v/>
      </c>
      <c r="BH66" s="311" t="str">
        <f>IF($B66=0,"",SUMIFS(INPUT_DATA!J:J,INPUT_DATA!$A:$A,$B66,INPUT_DATA!$C:$C,"D"))</f>
        <v/>
      </c>
      <c r="BI66" s="311" t="str">
        <f>IF($B66=0,"",SUMIFS(INPUT_DATA!K:K,INPUT_DATA!$A:$A,$B66,INPUT_DATA!$C:$C,"D"))</f>
        <v/>
      </c>
      <c r="BJ66" s="311" t="str">
        <f>IF($B66=0,"",SUMIFS(INPUT_DATA!L:L,INPUT_DATA!$A:$A,$B66,INPUT_DATA!$C:$C,"D"))</f>
        <v/>
      </c>
      <c r="BK66" s="311" t="str">
        <f>IF($B66=0,"",SUMIFS(INPUT_DATA!M:M,INPUT_DATA!$A:$A,$B66,INPUT_DATA!$C:$C,"D"))</f>
        <v/>
      </c>
      <c r="BL66" s="311" t="str">
        <f>IF($B66=0,"",SUMIFS(INPUT_DATA!N:N,INPUT_DATA!$A:$A,$B66,INPUT_DATA!$C:$C,"D"))</f>
        <v/>
      </c>
      <c r="BM66" s="311" t="str">
        <f>IF($B66=0,"",SUMIFS(INPUT_DATA!O:O,INPUT_DATA!$A:$A,$B66,INPUT_DATA!$C:$C,"D"))</f>
        <v/>
      </c>
      <c r="BN66" s="741" t="str">
        <f t="shared" si="18"/>
        <v/>
      </c>
      <c r="BO66" s="741" t="str">
        <f>IF($B66=0,"",SUMIFS(INPUT_DATA!O:O,INPUT_DATA!$A:$A,$B66,INPUT_DATA!$C:$C,"D"))</f>
        <v/>
      </c>
      <c r="BP66" s="741" t="str">
        <f t="shared" si="19"/>
        <v/>
      </c>
      <c r="BQ66" s="725" t="str">
        <f>IF($B66=0,"",SUMIFS(INPUT_DATA!Q:Q,INPUT_DATA!$A:$A,$B66,INPUT_DATA!$C:$C,"D"))</f>
        <v/>
      </c>
      <c r="BR66" s="747" t="str">
        <f>IF($B66=0,"",SUMIFS(INPUT_DATA!R:R,INPUT_DATA!$A:$A,$B66,INPUT_DATA!$C:$C,"D"))</f>
        <v/>
      </c>
      <c r="BS66" s="747" t="str">
        <f>IF($B66=0,"",SUMIFS(INPUT_DATA!S:S,INPUT_DATA!$A:$A,$B66,INPUT_DATA!$C:$C,"D"))</f>
        <v/>
      </c>
      <c r="BT66" s="311" t="str">
        <f>IF($B66=0,"",SUMIFS(INPUT_DATA!T:T,INPUT_DATA!$A:$A,$B66,INPUT_DATA!$C:$C,"D"))</f>
        <v/>
      </c>
      <c r="BU66" s="311" t="str">
        <f>IF($B66=0,"",SUMIFS(INPUT_DATA!U:U,INPUT_DATA!$A:$A,$B66,INPUT_DATA!$C:$C,"D"))</f>
        <v/>
      </c>
      <c r="BV66" s="311" t="str">
        <f>IF($B66=0,"",SUMIFS(INPUT_DATA!V:V,INPUT_DATA!$A:$A,$B66,INPUT_DATA!$C:$C,"D"))</f>
        <v/>
      </c>
      <c r="BW66" s="311" t="str">
        <f>IF($B66=0,"",SUMIFS(INPUT_DATA!W:W,INPUT_DATA!$A:$A,$B66,INPUT_DATA!$C:$C,"D"))</f>
        <v/>
      </c>
      <c r="BX66" s="311" t="str">
        <f>IF($B66=0,"",SUMIFS(INPUT_DATA!X:X,INPUT_DATA!$A:$A,$B66,INPUT_DATA!$C:$C,"D"))</f>
        <v/>
      </c>
      <c r="BY66" s="311" t="str">
        <f>IF($B66=0,"",SUMIFS(INPUT_DATA!Y:Y,INPUT_DATA!$A:$A,$B66,INPUT_DATA!$C:$C,"D"))</f>
        <v/>
      </c>
      <c r="BZ66" s="352" t="str">
        <f>IF($B66=0,"",SUMIFS(INPUT_DATA!Z:Z,INPUT_DATA!$A:$A,$B66,INPUT_DATA!$C:$C,"D"))</f>
        <v/>
      </c>
      <c r="CA66" s="352" t="str">
        <f>IF($B66=0,"",SUMIFS(INPUT_DATA!AA:AA,INPUT_DATA!$A:$A,$B66,INPUT_DATA!$C:$C,"D"))</f>
        <v/>
      </c>
      <c r="CB66" s="352" t="str">
        <f>IF($B66=0,"",SUMIFS(INPUT_DATA!AB:AB,INPUT_DATA!$A:$A,$B66,INPUT_DATA!$C:$C,"D"))</f>
        <v/>
      </c>
      <c r="CC66" s="311" t="str">
        <f>IF($B66=0,"",SUMIFS(INPUT_DATA!AC:AC,INPUT_DATA!$A:$A,$B66,INPUT_DATA!$C:$C,"D"))</f>
        <v/>
      </c>
      <c r="CD66" s="311" t="str">
        <f>IF($B66=0,"",SUMIFS(INPUT_DATA!AD:AD,INPUT_DATA!$A:$A,$B66,INPUT_DATA!$C:$C,"D"))</f>
        <v/>
      </c>
      <c r="CE66" s="311" t="str">
        <f>IF($B66=0,"",SUMIFS(INPUT_DATA!AE:AE,INPUT_DATA!$A:$A,$B66,INPUT_DATA!$C:$C,"D"))</f>
        <v/>
      </c>
      <c r="CF66" s="352" t="str">
        <f>IF($B66=0,"",SUMIFS(INPUT_DATA!AF:AF,INPUT_DATA!$A:$A,$B66,INPUT_DATA!$C:$C,"D"))</f>
        <v/>
      </c>
      <c r="CG66" s="352" t="str">
        <f>IF($B66=0,"",SUMIFS(INPUT_DATA!AG:AG,INPUT_DATA!$A:$A,$B66,INPUT_DATA!$C:$C,"D"))</f>
        <v/>
      </c>
      <c r="CH66" s="352" t="str">
        <f>IF($B66=0,"",SUMIFS(INPUT_DATA!AH:AH,INPUT_DATA!$A:$A,$B66,INPUT_DATA!$C:$C,"D"))</f>
        <v/>
      </c>
      <c r="CI66" s="153" t="str">
        <f>IF($B66=0,"",SUMIFS(INPUT_DATA!AI:AI,INPUT_DATA!$A:$A,$B66,INPUT_DATA!$C:$C,"D"))</f>
        <v/>
      </c>
      <c r="CJ66" s="153" t="str">
        <f>IF($B66=0,"",SUMIFS(INPUT_DATA!AJ:AJ,INPUT_DATA!$A:$A,$B66,INPUT_DATA!$C:$C,"D"))</f>
        <v/>
      </c>
      <c r="CK66" s="153" t="str">
        <f>IF($B66=0,"",SUMIFS(INPUT_DATA!AK:AK,INPUT_DATA!$A:$A,$B66,INPUT_DATA!$C:$C,"D"))</f>
        <v/>
      </c>
      <c r="CL66" s="153" t="str">
        <f>IF($B66=0,"",SUMIFS(INPUT_DATA!AL:AL,INPUT_DATA!$A:$A,$B66,INPUT_DATA!$C:$C,"D"))</f>
        <v/>
      </c>
      <c r="CM66" s="153" t="str">
        <f>IF($B66=0,"",SUMIFS(INPUT_DATA!AM:AM,INPUT_DATA!$A:$A,$B66,INPUT_DATA!$C:$C,"D"))</f>
        <v/>
      </c>
      <c r="CN66" s="153" t="str">
        <f>IF($B66=0,"",SUMIFS(INPUT_DATA!AN:AN,INPUT_DATA!$A:$A,$B66,INPUT_DATA!$C:$C,"D"))</f>
        <v/>
      </c>
      <c r="CO66" s="153" t="str">
        <f>IF($B66=0,"",SUMIFS(INPUT_DATA!AO:AO,INPUT_DATA!$A:$A,$B66,INPUT_DATA!$C:$C,"D"))</f>
        <v/>
      </c>
      <c r="CP66" s="153" t="str">
        <f>IF($B66=0,"",SUMIFS(INPUT_DATA!AP:AP,INPUT_DATA!$A:$A,$B66,INPUT_DATA!$C:$C,"D"))</f>
        <v/>
      </c>
      <c r="CQ66" s="153" t="str">
        <f>IF($B66=0,"",SUMIFS(INPUT_DATA!AQ:AQ,INPUT_DATA!$A:$A,$B66,INPUT_DATA!$C:$C,"D"))</f>
        <v/>
      </c>
      <c r="CR66" s="737" t="str">
        <f t="shared" si="32"/>
        <v/>
      </c>
      <c r="CS66" s="737" t="str">
        <f t="shared" si="33"/>
        <v/>
      </c>
      <c r="CT66" s="737" t="str">
        <f t="shared" si="34"/>
        <v/>
      </c>
      <c r="CU66" s="726" t="str">
        <f>IF($B66=0,"",SUMIFS(INPUT_DATA!AR:AR,INPUT_DATA!$A:$A,$B66,INPUT_DATA!$C:$C,"D"))</f>
        <v/>
      </c>
      <c r="CV66" s="726" t="str">
        <f>IF($B66=0,"",SUMIFS(INPUT_DATA!AS:AS,INPUT_DATA!$A:$A,$B66,INPUT_DATA!$C:$C,"D"))</f>
        <v/>
      </c>
      <c r="CW66" s="726" t="str">
        <f>IF($B66=0,"",SUMIFS(INPUT_DATA!AT:AT,INPUT_DATA!$A:$A,$B66,INPUT_DATA!$C:$C,"D"))</f>
        <v/>
      </c>
      <c r="CX66" s="726" t="str">
        <f t="shared" si="35"/>
        <v/>
      </c>
      <c r="CY66" s="737" t="str">
        <f t="shared" si="36"/>
        <v/>
      </c>
      <c r="CZ66" s="748" t="str">
        <f t="shared" si="37"/>
        <v/>
      </c>
      <c r="DA66" s="150"/>
    </row>
    <row r="67" spans="1:105" x14ac:dyDescent="0.2">
      <c r="A67" s="172">
        <f t="shared" si="40"/>
        <v>-20</v>
      </c>
      <c r="B67" s="720">
        <f>INPUT_DATA!BQ54</f>
        <v>0</v>
      </c>
      <c r="C67" s="725" t="str">
        <f>IF($B67=0,"",SUMIFS(INPUT_DATA!D:D,INPUT_DATA!$A:$A,$B67,INPUT_DATA!$C:$C,"S"))</f>
        <v/>
      </c>
      <c r="D67" s="726" t="str">
        <f>IF($B67=0,"",SUMIFS(INPUT_DATA!E:E,INPUT_DATA!$A:$A,$B67,INPUT_DATA!$C:$C,"S"))</f>
        <v/>
      </c>
      <c r="E67" s="727" t="str">
        <f>IF($B67=0,"",SUMIFS(INPUT_DATA!F:F,INPUT_DATA!$A:$A,$B67,INPUT_DATA!$C:$C,"S"))</f>
        <v/>
      </c>
      <c r="F67" s="727" t="str">
        <f>IF($B67=0,"",SUMIFS(INPUT_DATA!G:G,INPUT_DATA!$A:$A,$B67,INPUT_DATA!$C:$C,"S"))</f>
        <v/>
      </c>
      <c r="G67" s="727" t="str">
        <f>IF($B67=0,"",SUMIFS(INPUT_DATA!H:H,INPUT_DATA!$A:$A,$B67,INPUT_DATA!$C:$C,"S"))</f>
        <v/>
      </c>
      <c r="H67" s="727" t="str">
        <f>IF($B67=0,"",SUMIFS(INPUT_DATA!I:I,INPUT_DATA!$A:$A,$B67,INPUT_DATA!$C:$C,"S"))</f>
        <v/>
      </c>
      <c r="I67" s="727" t="str">
        <f>IF($B67=0,"",SUMIFS(INPUT_DATA!J:J,INPUT_DATA!$A:$A,$B67,INPUT_DATA!$C:$C,"S"))</f>
        <v/>
      </c>
      <c r="J67" s="727" t="str">
        <f>IF($B67=0,"",SUMIFS(INPUT_DATA!K:K,INPUT_DATA!$A:$A,$B67,INPUT_DATA!$C:$C,"S"))</f>
        <v/>
      </c>
      <c r="K67" s="727" t="str">
        <f>IF($B67=0,"",SUMIFS(INPUT_DATA!L:L,INPUT_DATA!$A:$A,$B67,INPUT_DATA!$C:$C,"S"))</f>
        <v/>
      </c>
      <c r="L67" s="727" t="str">
        <f>IF($B67=0,"",SUMIFS(INPUT_DATA!M:M,INPUT_DATA!$A:$A,$B67,INPUT_DATA!$C:$C,"S"))</f>
        <v/>
      </c>
      <c r="M67" s="727" t="str">
        <f>IF($B67=0,"",SUMIFS(INPUT_DATA!N:N,INPUT_DATA!$A:$A,$B67,INPUT_DATA!$C:$C,"S"))</f>
        <v/>
      </c>
      <c r="N67" s="727" t="str">
        <f>IF($B67=0,"",SUMIFS(INPUT_DATA!O:O,INPUT_DATA!$A:$A,$B67,INPUT_DATA!$C:$C,"S"))</f>
        <v/>
      </c>
      <c r="O67" s="728" t="str">
        <f t="shared" si="38"/>
        <v/>
      </c>
      <c r="P67" s="729" t="str">
        <f>IF($B67=0,"",SUMIFS(INPUT_DATA!P:P,INPUT_DATA!$A:$A,$B67,INPUT_DATA!$C:$C,"S"))</f>
        <v/>
      </c>
      <c r="Q67" s="729" t="str">
        <f t="shared" si="39"/>
        <v/>
      </c>
      <c r="R67" s="735" t="str">
        <f>IF($B67=0,"",SUMIFS(INPUT_DATA!Q:Q,INPUT_DATA!$A:$A,$B67,INPUT_DATA!$C:$C,"S"))</f>
        <v/>
      </c>
      <c r="S67" s="735" t="str">
        <f>IF($B67=0,"",SUMIFS(INPUT_DATA!R:R,INPUT_DATA!$A:$A,$B67,INPUT_DATA!$C:$C,"S"))</f>
        <v/>
      </c>
      <c r="T67" s="735" t="str">
        <f>IF($B67=0,"",SUMIFS(INPUT_DATA!S:S,INPUT_DATA!$A:$A,$B67,INPUT_DATA!$C:$C,"S"))</f>
        <v/>
      </c>
      <c r="U67" s="312" t="str">
        <f>IF($B67=0,"",SUMIFS(INPUT_DATA!T:T,INPUT_DATA!$A:$A,$B67,INPUT_DATA!$C:$C,"S"))</f>
        <v/>
      </c>
      <c r="V67" s="312" t="str">
        <f>IF($B67=0,"",SUMIFS(INPUT_DATA!U:U,INPUT_DATA!$A:$A,$B67,INPUT_DATA!$C:$C,"S"))</f>
        <v/>
      </c>
      <c r="W67" s="312" t="str">
        <f>IF($B67=0,"",SUMIFS(INPUT_DATA!V:V,INPUT_DATA!$A:$A,$B67,INPUT_DATA!$C:$C,"S"))</f>
        <v/>
      </c>
      <c r="X67" s="312" t="str">
        <f>IF($B67=0,"",SUMIFS(INPUT_DATA!W:W,INPUT_DATA!$A:$A,$B67,INPUT_DATA!$C:$C,"S"))</f>
        <v/>
      </c>
      <c r="Y67" s="312" t="str">
        <f>IF($B67=0,"",SUMIFS(INPUT_DATA!X:X,INPUT_DATA!$A:$A,$B67,INPUT_DATA!$C:$C,"S"))</f>
        <v/>
      </c>
      <c r="Z67" s="312" t="str">
        <f>IF($B67=0,"",SUMIFS(INPUT_DATA!Y:Y,INPUT_DATA!$A:$A,$B67,INPUT_DATA!$C:$C,"S"))</f>
        <v/>
      </c>
      <c r="AA67" s="312" t="str">
        <f>IF($B67=0,"",SUMIFS(INPUT_DATA!Z:Z,INPUT_DATA!$A:$A,$B67,INPUT_DATA!$C:$C,"S"))</f>
        <v/>
      </c>
      <c r="AB67" s="312" t="str">
        <f>IF($B67=0,"",SUMIFS(INPUT_DATA!AA:AA,INPUT_DATA!$A:$A,$B67,INPUT_DATA!$C:$C,"S"))</f>
        <v/>
      </c>
      <c r="AC67" s="312" t="str">
        <f>IF($B67=0,"",SUMIFS(INPUT_DATA!AB:AB,INPUT_DATA!$A:$A,$B67,INPUT_DATA!$C:$C,"S"))</f>
        <v/>
      </c>
      <c r="AD67" s="312" t="str">
        <f>IF($B67=0,"",SUMIFS(INPUT_DATA!AC:AC,INPUT_DATA!$A:$A,$B67,INPUT_DATA!$C:$C,"S"))</f>
        <v/>
      </c>
      <c r="AE67" s="312" t="str">
        <f>IF($B67=0,"",SUMIFS(INPUT_DATA!AD:AD,INPUT_DATA!$A:$A,$B67,INPUT_DATA!$C:$C,"S"))</f>
        <v/>
      </c>
      <c r="AF67" s="312" t="str">
        <f>IF($B67=0,"",SUMIFS(INPUT_DATA!AE:AE,INPUT_DATA!$A:$A,$B67,INPUT_DATA!$C:$C,"S"))</f>
        <v/>
      </c>
      <c r="AG67" s="312" t="str">
        <f>IF($B67=0,"",SUMIFS(INPUT_DATA!AF:AF,INPUT_DATA!$A:$A,$B67,INPUT_DATA!$C:$C,"S"))</f>
        <v/>
      </c>
      <c r="AH67" s="312" t="str">
        <f>IF($B67=0,"",SUMIFS(INPUT_DATA!AG:AG,INPUT_DATA!$A:$A,$B67,INPUT_DATA!$C:$C,"S"))</f>
        <v/>
      </c>
      <c r="AI67" s="312" t="str">
        <f>IF($B67=0,"",SUMIFS(INPUT_DATA!AH:AH,INPUT_DATA!$A:$A,$B67,INPUT_DATA!$C:$C,"S"))</f>
        <v/>
      </c>
      <c r="AJ67" s="312" t="str">
        <f>IF($B67=0,"",SUMIFS(INPUT_DATA!AI:AI,INPUT_DATA!$A:$A,$B67,INPUT_DATA!$C:$C,"S"))</f>
        <v/>
      </c>
      <c r="AK67" s="312" t="str">
        <f>IF($B67=0,"",SUMIFS(INPUT_DATA!AJ:AJ,INPUT_DATA!$A:$A,$B67,INPUT_DATA!$C:$C,"S"))</f>
        <v/>
      </c>
      <c r="AL67" s="312" t="str">
        <f>IF($B67=0,"",SUMIFS(INPUT_DATA!AK:AK,INPUT_DATA!$A:$A,$B67,INPUT_DATA!$C:$C,"S"))</f>
        <v/>
      </c>
      <c r="AM67" s="312" t="str">
        <f>IF($B67=0,"",SUMIFS(INPUT_DATA!AL:AL,INPUT_DATA!$A:$A,$B67,INPUT_DATA!$C:$C,"S"))</f>
        <v/>
      </c>
      <c r="AN67" s="312" t="str">
        <f>IF($B67=0,"",SUMIFS(INPUT_DATA!AM:AM,INPUT_DATA!$A:$A,$B67,INPUT_DATA!$C:$C,"S"))</f>
        <v/>
      </c>
      <c r="AO67" s="312" t="str">
        <f>IF($B67=0,"",SUMIFS(INPUT_DATA!AN:AN,INPUT_DATA!$A:$A,$B67,INPUT_DATA!$C:$C,"S"))</f>
        <v/>
      </c>
      <c r="AP67" s="312" t="str">
        <f>IF($B67=0,"",SUMIFS(INPUT_DATA!AO:AO,INPUT_DATA!$A:$A,$B67,INPUT_DATA!$C:$C,"S"))</f>
        <v/>
      </c>
      <c r="AQ67" s="312" t="str">
        <f>IF($B67=0,"",SUMIFS(INPUT_DATA!AP:AP,INPUT_DATA!$A:$A,$B67,INPUT_DATA!$C:$C,"S"))</f>
        <v/>
      </c>
      <c r="AR67" s="312" t="str">
        <f>IF($B67=0,"",SUMIFS(INPUT_DATA!AQ:AQ,INPUT_DATA!$A:$A,$B67,INPUT_DATA!$C:$C,"S"))</f>
        <v/>
      </c>
      <c r="AS67" s="736" t="str">
        <f t="shared" si="29"/>
        <v/>
      </c>
      <c r="AT67" s="737" t="str">
        <f t="shared" si="30"/>
        <v/>
      </c>
      <c r="AU67" s="738" t="str">
        <f t="shared" si="31"/>
        <v/>
      </c>
      <c r="AV67" s="736" t="str">
        <f>IF($B67=0,"",SUMIFS(INPUT_DATA!AR:AR,INPUT_DATA!$A:$A,$B67,INPUT_DATA!$C:$C,"S"))</f>
        <v/>
      </c>
      <c r="AW67" s="737" t="str">
        <f>IF($B67=0,"",SUMIFS(INPUT_DATA!AS:AS,INPUT_DATA!$A:$A,$B67,INPUT_DATA!$C:$C,"S"))</f>
        <v/>
      </c>
      <c r="AX67" s="738" t="str">
        <f>IF($B67=0,"",SUMIFS(INPUT_DATA!AT:AT,INPUT_DATA!$A:$A,$B67,INPUT_DATA!$C:$C,"S"))</f>
        <v/>
      </c>
      <c r="AY67" s="736" t="str">
        <f t="shared" si="15"/>
        <v/>
      </c>
      <c r="AZ67" s="737" t="str">
        <f t="shared" si="16"/>
        <v/>
      </c>
      <c r="BA67" s="738" t="str">
        <f t="shared" si="17"/>
        <v/>
      </c>
      <c r="BB67" s="150"/>
      <c r="BC67" s="725" t="str">
        <f>IF($B67=0,"",SUMIFS(INPUT_DATA!D:D,INPUT_DATA!$A:$A,$B67,INPUT_DATA!$C:$C,"D"))</f>
        <v/>
      </c>
      <c r="BD67" s="311" t="str">
        <f>IF($B67=0,"",SUMIFS(INPUT_DATA!F:F,INPUT_DATA!$A:$A,$B67,INPUT_DATA!$C:$C,"D"))</f>
        <v/>
      </c>
      <c r="BE67" s="311" t="str">
        <f>IF($B67=0,"",SUMIFS(INPUT_DATA!G:G,INPUT_DATA!$A:$A,$B67,INPUT_DATA!$C:$C,"D"))</f>
        <v/>
      </c>
      <c r="BF67" s="311" t="str">
        <f>IF($B67=0,"",SUMIFS(INPUT_DATA!H:H,INPUT_DATA!$A:$A,$B67,INPUT_DATA!$C:$C,"D"))</f>
        <v/>
      </c>
      <c r="BG67" s="311" t="str">
        <f>IF($B67=0,"",SUMIFS(INPUT_DATA!I:I,INPUT_DATA!$A:$A,$B67,INPUT_DATA!$C:$C,"D"))</f>
        <v/>
      </c>
      <c r="BH67" s="311" t="str">
        <f>IF($B67=0,"",SUMIFS(INPUT_DATA!J:J,INPUT_DATA!$A:$A,$B67,INPUT_DATA!$C:$C,"D"))</f>
        <v/>
      </c>
      <c r="BI67" s="311" t="str">
        <f>IF($B67=0,"",SUMIFS(INPUT_DATA!K:K,INPUT_DATA!$A:$A,$B67,INPUT_DATA!$C:$C,"D"))</f>
        <v/>
      </c>
      <c r="BJ67" s="311" t="str">
        <f>IF($B67=0,"",SUMIFS(INPUT_DATA!L:L,INPUT_DATA!$A:$A,$B67,INPUT_DATA!$C:$C,"D"))</f>
        <v/>
      </c>
      <c r="BK67" s="311" t="str">
        <f>IF($B67=0,"",SUMIFS(INPUT_DATA!M:M,INPUT_DATA!$A:$A,$B67,INPUT_DATA!$C:$C,"D"))</f>
        <v/>
      </c>
      <c r="BL67" s="311" t="str">
        <f>IF($B67=0,"",SUMIFS(INPUT_DATA!N:N,INPUT_DATA!$A:$A,$B67,INPUT_DATA!$C:$C,"D"))</f>
        <v/>
      </c>
      <c r="BM67" s="311" t="str">
        <f>IF($B67=0,"",SUMIFS(INPUT_DATA!O:O,INPUT_DATA!$A:$A,$B67,INPUT_DATA!$C:$C,"D"))</f>
        <v/>
      </c>
      <c r="BN67" s="741" t="str">
        <f t="shared" si="18"/>
        <v/>
      </c>
      <c r="BO67" s="741" t="str">
        <f>IF($B67=0,"",SUMIFS(INPUT_DATA!O:O,INPUT_DATA!$A:$A,$B67,INPUT_DATA!$C:$C,"D"))</f>
        <v/>
      </c>
      <c r="BP67" s="741" t="str">
        <f t="shared" si="19"/>
        <v/>
      </c>
      <c r="BQ67" s="725" t="str">
        <f>IF($B67=0,"",SUMIFS(INPUT_DATA!Q:Q,INPUT_DATA!$A:$A,$B67,INPUT_DATA!$C:$C,"D"))</f>
        <v/>
      </c>
      <c r="BR67" s="747" t="str">
        <f>IF($B67=0,"",SUMIFS(INPUT_DATA!R:R,INPUT_DATA!$A:$A,$B67,INPUT_DATA!$C:$C,"D"))</f>
        <v/>
      </c>
      <c r="BS67" s="747" t="str">
        <f>IF($B67=0,"",SUMIFS(INPUT_DATA!S:S,INPUT_DATA!$A:$A,$B67,INPUT_DATA!$C:$C,"D"))</f>
        <v/>
      </c>
      <c r="BT67" s="311" t="str">
        <f>IF($B67=0,"",SUMIFS(INPUT_DATA!T:T,INPUT_DATA!$A:$A,$B67,INPUT_DATA!$C:$C,"D"))</f>
        <v/>
      </c>
      <c r="BU67" s="311" t="str">
        <f>IF($B67=0,"",SUMIFS(INPUT_DATA!U:U,INPUT_DATA!$A:$A,$B67,INPUT_DATA!$C:$C,"D"))</f>
        <v/>
      </c>
      <c r="BV67" s="311" t="str">
        <f>IF($B67=0,"",SUMIFS(INPUT_DATA!V:V,INPUT_DATA!$A:$A,$B67,INPUT_DATA!$C:$C,"D"))</f>
        <v/>
      </c>
      <c r="BW67" s="311" t="str">
        <f>IF($B67=0,"",SUMIFS(INPUT_DATA!W:W,INPUT_DATA!$A:$A,$B67,INPUT_DATA!$C:$C,"D"))</f>
        <v/>
      </c>
      <c r="BX67" s="311" t="str">
        <f>IF($B67=0,"",SUMIFS(INPUT_DATA!X:X,INPUT_DATA!$A:$A,$B67,INPUT_DATA!$C:$C,"D"))</f>
        <v/>
      </c>
      <c r="BY67" s="311" t="str">
        <f>IF($B67=0,"",SUMIFS(INPUT_DATA!Y:Y,INPUT_DATA!$A:$A,$B67,INPUT_DATA!$C:$C,"D"))</f>
        <v/>
      </c>
      <c r="BZ67" s="352" t="str">
        <f>IF($B67=0,"",SUMIFS(INPUT_DATA!Z:Z,INPUT_DATA!$A:$A,$B67,INPUT_DATA!$C:$C,"D"))</f>
        <v/>
      </c>
      <c r="CA67" s="352" t="str">
        <f>IF($B67=0,"",SUMIFS(INPUT_DATA!AA:AA,INPUT_DATA!$A:$A,$B67,INPUT_DATA!$C:$C,"D"))</f>
        <v/>
      </c>
      <c r="CB67" s="352" t="str">
        <f>IF($B67=0,"",SUMIFS(INPUT_DATA!AB:AB,INPUT_DATA!$A:$A,$B67,INPUT_DATA!$C:$C,"D"))</f>
        <v/>
      </c>
      <c r="CC67" s="311" t="str">
        <f>IF($B67=0,"",SUMIFS(INPUT_DATA!AC:AC,INPUT_DATA!$A:$A,$B67,INPUT_DATA!$C:$C,"D"))</f>
        <v/>
      </c>
      <c r="CD67" s="311" t="str">
        <f>IF($B67=0,"",SUMIFS(INPUT_DATA!AD:AD,INPUT_DATA!$A:$A,$B67,INPUT_DATA!$C:$C,"D"))</f>
        <v/>
      </c>
      <c r="CE67" s="311" t="str">
        <f>IF($B67=0,"",SUMIFS(INPUT_DATA!AE:AE,INPUT_DATA!$A:$A,$B67,INPUT_DATA!$C:$C,"D"))</f>
        <v/>
      </c>
      <c r="CF67" s="352" t="str">
        <f>IF($B67=0,"",SUMIFS(INPUT_DATA!AF:AF,INPUT_DATA!$A:$A,$B67,INPUT_DATA!$C:$C,"D"))</f>
        <v/>
      </c>
      <c r="CG67" s="352" t="str">
        <f>IF($B67=0,"",SUMIFS(INPUT_DATA!AG:AG,INPUT_DATA!$A:$A,$B67,INPUT_DATA!$C:$C,"D"))</f>
        <v/>
      </c>
      <c r="CH67" s="352" t="str">
        <f>IF($B67=0,"",SUMIFS(INPUT_DATA!AH:AH,INPUT_DATA!$A:$A,$B67,INPUT_DATA!$C:$C,"D"))</f>
        <v/>
      </c>
      <c r="CI67" s="153" t="str">
        <f>IF($B67=0,"",SUMIFS(INPUT_DATA!AI:AI,INPUT_DATA!$A:$A,$B67,INPUT_DATA!$C:$C,"D"))</f>
        <v/>
      </c>
      <c r="CJ67" s="153" t="str">
        <f>IF($B67=0,"",SUMIFS(INPUT_DATA!AJ:AJ,INPUT_DATA!$A:$A,$B67,INPUT_DATA!$C:$C,"D"))</f>
        <v/>
      </c>
      <c r="CK67" s="153" t="str">
        <f>IF($B67=0,"",SUMIFS(INPUT_DATA!AK:AK,INPUT_DATA!$A:$A,$B67,INPUT_DATA!$C:$C,"D"))</f>
        <v/>
      </c>
      <c r="CL67" s="153" t="str">
        <f>IF($B67=0,"",SUMIFS(INPUT_DATA!AL:AL,INPUT_DATA!$A:$A,$B67,INPUT_DATA!$C:$C,"D"))</f>
        <v/>
      </c>
      <c r="CM67" s="153" t="str">
        <f>IF($B67=0,"",SUMIFS(INPUT_DATA!AM:AM,INPUT_DATA!$A:$A,$B67,INPUT_DATA!$C:$C,"D"))</f>
        <v/>
      </c>
      <c r="CN67" s="153" t="str">
        <f>IF($B67=0,"",SUMIFS(INPUT_DATA!AN:AN,INPUT_DATA!$A:$A,$B67,INPUT_DATA!$C:$C,"D"))</f>
        <v/>
      </c>
      <c r="CO67" s="153" t="str">
        <f>IF($B67=0,"",SUMIFS(INPUT_DATA!AO:AO,INPUT_DATA!$A:$A,$B67,INPUT_DATA!$C:$C,"D"))</f>
        <v/>
      </c>
      <c r="CP67" s="153" t="str">
        <f>IF($B67=0,"",SUMIFS(INPUT_DATA!AP:AP,INPUT_DATA!$A:$A,$B67,INPUT_DATA!$C:$C,"D"))</f>
        <v/>
      </c>
      <c r="CQ67" s="153" t="str">
        <f>IF($B67=0,"",SUMIFS(INPUT_DATA!AQ:AQ,INPUT_DATA!$A:$A,$B67,INPUT_DATA!$C:$C,"D"))</f>
        <v/>
      </c>
      <c r="CR67" s="737" t="str">
        <f t="shared" si="32"/>
        <v/>
      </c>
      <c r="CS67" s="737" t="str">
        <f t="shared" si="33"/>
        <v/>
      </c>
      <c r="CT67" s="737" t="str">
        <f t="shared" si="34"/>
        <v/>
      </c>
      <c r="CU67" s="726" t="str">
        <f>IF($B67=0,"",SUMIFS(INPUT_DATA!AR:AR,INPUT_DATA!$A:$A,$B67,INPUT_DATA!$C:$C,"D"))</f>
        <v/>
      </c>
      <c r="CV67" s="726" t="str">
        <f>IF($B67=0,"",SUMIFS(INPUT_DATA!AS:AS,INPUT_DATA!$A:$A,$B67,INPUT_DATA!$C:$C,"D"))</f>
        <v/>
      </c>
      <c r="CW67" s="726" t="str">
        <f>IF($B67=0,"",SUMIFS(INPUT_DATA!AT:AT,INPUT_DATA!$A:$A,$B67,INPUT_DATA!$C:$C,"D"))</f>
        <v/>
      </c>
      <c r="CX67" s="726" t="str">
        <f t="shared" si="35"/>
        <v/>
      </c>
      <c r="CY67" s="737" t="str">
        <f t="shared" si="36"/>
        <v/>
      </c>
      <c r="CZ67" s="748" t="str">
        <f t="shared" si="37"/>
        <v/>
      </c>
      <c r="DA67" s="150"/>
    </row>
    <row r="68" spans="1:105" x14ac:dyDescent="0.2">
      <c r="A68" s="172">
        <f t="shared" si="40"/>
        <v>-21</v>
      </c>
      <c r="B68" s="720">
        <f>INPUT_DATA!BQ55</f>
        <v>0</v>
      </c>
      <c r="C68" s="725" t="str">
        <f>IF($B68=0,"",SUMIFS(INPUT_DATA!D:D,INPUT_DATA!$A:$A,$B68,INPUT_DATA!$C:$C,"S"))</f>
        <v/>
      </c>
      <c r="D68" s="726" t="str">
        <f>IF($B68=0,"",SUMIFS(INPUT_DATA!E:E,INPUT_DATA!$A:$A,$B68,INPUT_DATA!$C:$C,"S"))</f>
        <v/>
      </c>
      <c r="E68" s="727" t="str">
        <f>IF($B68=0,"",SUMIFS(INPUT_DATA!F:F,INPUT_DATA!$A:$A,$B68,INPUT_DATA!$C:$C,"S"))</f>
        <v/>
      </c>
      <c r="F68" s="727" t="str">
        <f>IF($B68=0,"",SUMIFS(INPUT_DATA!G:G,INPUT_DATA!$A:$A,$B68,INPUT_DATA!$C:$C,"S"))</f>
        <v/>
      </c>
      <c r="G68" s="727" t="str">
        <f>IF($B68=0,"",SUMIFS(INPUT_DATA!H:H,INPUT_DATA!$A:$A,$B68,INPUT_DATA!$C:$C,"S"))</f>
        <v/>
      </c>
      <c r="H68" s="727" t="str">
        <f>IF($B68=0,"",SUMIFS(INPUT_DATA!I:I,INPUT_DATA!$A:$A,$B68,INPUT_DATA!$C:$C,"S"))</f>
        <v/>
      </c>
      <c r="I68" s="727" t="str">
        <f>IF($B68=0,"",SUMIFS(INPUT_DATA!J:J,INPUT_DATA!$A:$A,$B68,INPUT_DATA!$C:$C,"S"))</f>
        <v/>
      </c>
      <c r="J68" s="727" t="str">
        <f>IF($B68=0,"",SUMIFS(INPUT_DATA!K:K,INPUT_DATA!$A:$A,$B68,INPUT_DATA!$C:$C,"S"))</f>
        <v/>
      </c>
      <c r="K68" s="727" t="str">
        <f>IF($B68=0,"",SUMIFS(INPUT_DATA!L:L,INPUT_DATA!$A:$A,$B68,INPUT_DATA!$C:$C,"S"))</f>
        <v/>
      </c>
      <c r="L68" s="727" t="str">
        <f>IF($B68=0,"",SUMIFS(INPUT_DATA!M:M,INPUT_DATA!$A:$A,$B68,INPUT_DATA!$C:$C,"S"))</f>
        <v/>
      </c>
      <c r="M68" s="727" t="str">
        <f>IF($B68=0,"",SUMIFS(INPUT_DATA!N:N,INPUT_DATA!$A:$A,$B68,INPUT_DATA!$C:$C,"S"))</f>
        <v/>
      </c>
      <c r="N68" s="727" t="str">
        <f>IF($B68=0,"",SUMIFS(INPUT_DATA!O:O,INPUT_DATA!$A:$A,$B68,INPUT_DATA!$C:$C,"S"))</f>
        <v/>
      </c>
      <c r="O68" s="728" t="str">
        <f t="shared" si="38"/>
        <v/>
      </c>
      <c r="P68" s="729" t="str">
        <f>IF($B68=0,"",SUMIFS(INPUT_DATA!P:P,INPUT_DATA!$A:$A,$B68,INPUT_DATA!$C:$C,"S"))</f>
        <v/>
      </c>
      <c r="Q68" s="729" t="str">
        <f t="shared" si="39"/>
        <v/>
      </c>
      <c r="R68" s="735" t="str">
        <f>IF($B68=0,"",SUMIFS(INPUT_DATA!Q:Q,INPUT_DATA!$A:$A,$B68,INPUT_DATA!$C:$C,"S"))</f>
        <v/>
      </c>
      <c r="S68" s="735" t="str">
        <f>IF($B68=0,"",SUMIFS(INPUT_DATA!R:R,INPUT_DATA!$A:$A,$B68,INPUT_DATA!$C:$C,"S"))</f>
        <v/>
      </c>
      <c r="T68" s="735" t="str">
        <f>IF($B68=0,"",SUMIFS(INPUT_DATA!S:S,INPUT_DATA!$A:$A,$B68,INPUT_DATA!$C:$C,"S"))</f>
        <v/>
      </c>
      <c r="U68" s="312" t="str">
        <f>IF($B68=0,"",SUMIFS(INPUT_DATA!T:T,INPUT_DATA!$A:$A,$B68,INPUT_DATA!$C:$C,"S"))</f>
        <v/>
      </c>
      <c r="V68" s="312" t="str">
        <f>IF($B68=0,"",SUMIFS(INPUT_DATA!U:U,INPUT_DATA!$A:$A,$B68,INPUT_DATA!$C:$C,"S"))</f>
        <v/>
      </c>
      <c r="W68" s="312" t="str">
        <f>IF($B68=0,"",SUMIFS(INPUT_DATA!V:V,INPUT_DATA!$A:$A,$B68,INPUT_DATA!$C:$C,"S"))</f>
        <v/>
      </c>
      <c r="X68" s="312" t="str">
        <f>IF($B68=0,"",SUMIFS(INPUT_DATA!W:W,INPUT_DATA!$A:$A,$B68,INPUT_DATA!$C:$C,"S"))</f>
        <v/>
      </c>
      <c r="Y68" s="312" t="str">
        <f>IF($B68=0,"",SUMIFS(INPUT_DATA!X:X,INPUT_DATA!$A:$A,$B68,INPUT_DATA!$C:$C,"S"))</f>
        <v/>
      </c>
      <c r="Z68" s="312" t="str">
        <f>IF($B68=0,"",SUMIFS(INPUT_DATA!Y:Y,INPUT_DATA!$A:$A,$B68,INPUT_DATA!$C:$C,"S"))</f>
        <v/>
      </c>
      <c r="AA68" s="312" t="str">
        <f>IF($B68=0,"",SUMIFS(INPUT_DATA!Z:Z,INPUT_DATA!$A:$A,$B68,INPUT_DATA!$C:$C,"S"))</f>
        <v/>
      </c>
      <c r="AB68" s="312" t="str">
        <f>IF($B68=0,"",SUMIFS(INPUT_DATA!AA:AA,INPUT_DATA!$A:$A,$B68,INPUT_DATA!$C:$C,"S"))</f>
        <v/>
      </c>
      <c r="AC68" s="312" t="str">
        <f>IF($B68=0,"",SUMIFS(INPUT_DATA!AB:AB,INPUT_DATA!$A:$A,$B68,INPUT_DATA!$C:$C,"S"))</f>
        <v/>
      </c>
      <c r="AD68" s="312" t="str">
        <f>IF($B68=0,"",SUMIFS(INPUT_DATA!AC:AC,INPUT_DATA!$A:$A,$B68,INPUT_DATA!$C:$C,"S"))</f>
        <v/>
      </c>
      <c r="AE68" s="312" t="str">
        <f>IF($B68=0,"",SUMIFS(INPUT_DATA!AD:AD,INPUT_DATA!$A:$A,$B68,INPUT_DATA!$C:$C,"S"))</f>
        <v/>
      </c>
      <c r="AF68" s="312" t="str">
        <f>IF($B68=0,"",SUMIFS(INPUT_DATA!AE:AE,INPUT_DATA!$A:$A,$B68,INPUT_DATA!$C:$C,"S"))</f>
        <v/>
      </c>
      <c r="AG68" s="312" t="str">
        <f>IF($B68=0,"",SUMIFS(INPUT_DATA!AF:AF,INPUT_DATA!$A:$A,$B68,INPUT_DATA!$C:$C,"S"))</f>
        <v/>
      </c>
      <c r="AH68" s="312" t="str">
        <f>IF($B68=0,"",SUMIFS(INPUT_DATA!AG:AG,INPUT_DATA!$A:$A,$B68,INPUT_DATA!$C:$C,"S"))</f>
        <v/>
      </c>
      <c r="AI68" s="312" t="str">
        <f>IF($B68=0,"",SUMIFS(INPUT_DATA!AH:AH,INPUT_DATA!$A:$A,$B68,INPUT_DATA!$C:$C,"S"))</f>
        <v/>
      </c>
      <c r="AJ68" s="312" t="str">
        <f>IF($B68=0,"",SUMIFS(INPUT_DATA!AI:AI,INPUT_DATA!$A:$A,$B68,INPUT_DATA!$C:$C,"S"))</f>
        <v/>
      </c>
      <c r="AK68" s="312" t="str">
        <f>IF($B68=0,"",SUMIFS(INPUT_DATA!AJ:AJ,INPUT_DATA!$A:$A,$B68,INPUT_DATA!$C:$C,"S"))</f>
        <v/>
      </c>
      <c r="AL68" s="312" t="str">
        <f>IF($B68=0,"",SUMIFS(INPUT_DATA!AK:AK,INPUT_DATA!$A:$A,$B68,INPUT_DATA!$C:$C,"S"))</f>
        <v/>
      </c>
      <c r="AM68" s="312" t="str">
        <f>IF($B68=0,"",SUMIFS(INPUT_DATA!AL:AL,INPUT_DATA!$A:$A,$B68,INPUT_DATA!$C:$C,"S"))</f>
        <v/>
      </c>
      <c r="AN68" s="312" t="str">
        <f>IF($B68=0,"",SUMIFS(INPUT_DATA!AM:AM,INPUT_DATA!$A:$A,$B68,INPUT_DATA!$C:$C,"S"))</f>
        <v/>
      </c>
      <c r="AO68" s="312" t="str">
        <f>IF($B68=0,"",SUMIFS(INPUT_DATA!AN:AN,INPUT_DATA!$A:$A,$B68,INPUT_DATA!$C:$C,"S"))</f>
        <v/>
      </c>
      <c r="AP68" s="312" t="str">
        <f>IF($B68=0,"",SUMIFS(INPUT_DATA!AO:AO,INPUT_DATA!$A:$A,$B68,INPUT_DATA!$C:$C,"S"))</f>
        <v/>
      </c>
      <c r="AQ68" s="312" t="str">
        <f>IF($B68=0,"",SUMIFS(INPUT_DATA!AP:AP,INPUT_DATA!$A:$A,$B68,INPUT_DATA!$C:$C,"S"))</f>
        <v/>
      </c>
      <c r="AR68" s="312" t="str">
        <f>IF($B68=0,"",SUMIFS(INPUT_DATA!AQ:AQ,INPUT_DATA!$A:$A,$B68,INPUT_DATA!$C:$C,"S"))</f>
        <v/>
      </c>
      <c r="AS68" s="736" t="str">
        <f t="shared" si="29"/>
        <v/>
      </c>
      <c r="AT68" s="737" t="str">
        <f t="shared" si="30"/>
        <v/>
      </c>
      <c r="AU68" s="738" t="str">
        <f t="shared" si="31"/>
        <v/>
      </c>
      <c r="AV68" s="736" t="str">
        <f>IF($B68=0,"",SUMIFS(INPUT_DATA!AR:AR,INPUT_DATA!$A:$A,$B68,INPUT_DATA!$C:$C,"S"))</f>
        <v/>
      </c>
      <c r="AW68" s="737" t="str">
        <f>IF($B68=0,"",SUMIFS(INPUT_DATA!AS:AS,INPUT_DATA!$A:$A,$B68,INPUT_DATA!$C:$C,"S"))</f>
        <v/>
      </c>
      <c r="AX68" s="738" t="str">
        <f>IF($B68=0,"",SUMIFS(INPUT_DATA!AT:AT,INPUT_DATA!$A:$A,$B68,INPUT_DATA!$C:$C,"S"))</f>
        <v/>
      </c>
      <c r="AY68" s="736" t="str">
        <f t="shared" si="15"/>
        <v/>
      </c>
      <c r="AZ68" s="737" t="str">
        <f t="shared" si="16"/>
        <v/>
      </c>
      <c r="BA68" s="738" t="str">
        <f t="shared" si="17"/>
        <v/>
      </c>
      <c r="BB68" s="150"/>
      <c r="BC68" s="725" t="str">
        <f>IF($B68=0,"",SUMIFS(INPUT_DATA!D:D,INPUT_DATA!$A:$A,$B68,INPUT_DATA!$C:$C,"D"))</f>
        <v/>
      </c>
      <c r="BD68" s="311" t="str">
        <f>IF($B68=0,"",SUMIFS(INPUT_DATA!F:F,INPUT_DATA!$A:$A,$B68,INPUT_DATA!$C:$C,"D"))</f>
        <v/>
      </c>
      <c r="BE68" s="311" t="str">
        <f>IF($B68=0,"",SUMIFS(INPUT_DATA!G:G,INPUT_DATA!$A:$A,$B68,INPUT_DATA!$C:$C,"D"))</f>
        <v/>
      </c>
      <c r="BF68" s="311" t="str">
        <f>IF($B68=0,"",SUMIFS(INPUT_DATA!H:H,INPUT_DATA!$A:$A,$B68,INPUT_DATA!$C:$C,"D"))</f>
        <v/>
      </c>
      <c r="BG68" s="311" t="str">
        <f>IF($B68=0,"",SUMIFS(INPUT_DATA!I:I,INPUT_DATA!$A:$A,$B68,INPUT_DATA!$C:$C,"D"))</f>
        <v/>
      </c>
      <c r="BH68" s="311" t="str">
        <f>IF($B68=0,"",SUMIFS(INPUT_DATA!J:J,INPUT_DATA!$A:$A,$B68,INPUT_DATA!$C:$C,"D"))</f>
        <v/>
      </c>
      <c r="BI68" s="311" t="str">
        <f>IF($B68=0,"",SUMIFS(INPUT_DATA!K:K,INPUT_DATA!$A:$A,$B68,INPUT_DATA!$C:$C,"D"))</f>
        <v/>
      </c>
      <c r="BJ68" s="311" t="str">
        <f>IF($B68=0,"",SUMIFS(INPUT_DATA!L:L,INPUT_DATA!$A:$A,$B68,INPUT_DATA!$C:$C,"D"))</f>
        <v/>
      </c>
      <c r="BK68" s="311" t="str">
        <f>IF($B68=0,"",SUMIFS(INPUT_DATA!M:M,INPUT_DATA!$A:$A,$B68,INPUT_DATA!$C:$C,"D"))</f>
        <v/>
      </c>
      <c r="BL68" s="311" t="str">
        <f>IF($B68=0,"",SUMIFS(INPUT_DATA!N:N,INPUT_DATA!$A:$A,$B68,INPUT_DATA!$C:$C,"D"))</f>
        <v/>
      </c>
      <c r="BM68" s="311" t="str">
        <f>IF($B68=0,"",SUMIFS(INPUT_DATA!O:O,INPUT_DATA!$A:$A,$B68,INPUT_DATA!$C:$C,"D"))</f>
        <v/>
      </c>
      <c r="BN68" s="741" t="str">
        <f t="shared" si="18"/>
        <v/>
      </c>
      <c r="BO68" s="741" t="str">
        <f>IF($B68=0,"",SUMIFS(INPUT_DATA!O:O,INPUT_DATA!$A:$A,$B68,INPUT_DATA!$C:$C,"D"))</f>
        <v/>
      </c>
      <c r="BP68" s="741" t="str">
        <f t="shared" si="19"/>
        <v/>
      </c>
      <c r="BQ68" s="725" t="str">
        <f>IF($B68=0,"",SUMIFS(INPUT_DATA!Q:Q,INPUT_DATA!$A:$A,$B68,INPUT_DATA!$C:$C,"D"))</f>
        <v/>
      </c>
      <c r="BR68" s="747" t="str">
        <f>IF($B68=0,"",SUMIFS(INPUT_DATA!R:R,INPUT_DATA!$A:$A,$B68,INPUT_DATA!$C:$C,"D"))</f>
        <v/>
      </c>
      <c r="BS68" s="747" t="str">
        <f>IF($B68=0,"",SUMIFS(INPUT_DATA!S:S,INPUT_DATA!$A:$A,$B68,INPUT_DATA!$C:$C,"D"))</f>
        <v/>
      </c>
      <c r="BT68" s="311" t="str">
        <f>IF($B68=0,"",SUMIFS(INPUT_DATA!T:T,INPUT_DATA!$A:$A,$B68,INPUT_DATA!$C:$C,"D"))</f>
        <v/>
      </c>
      <c r="BU68" s="311" t="str">
        <f>IF($B68=0,"",SUMIFS(INPUT_DATA!U:U,INPUT_DATA!$A:$A,$B68,INPUT_DATA!$C:$C,"D"))</f>
        <v/>
      </c>
      <c r="BV68" s="311" t="str">
        <f>IF($B68=0,"",SUMIFS(INPUT_DATA!V:V,INPUT_DATA!$A:$A,$B68,INPUT_DATA!$C:$C,"D"))</f>
        <v/>
      </c>
      <c r="BW68" s="311" t="str">
        <f>IF($B68=0,"",SUMIFS(INPUT_DATA!W:W,INPUT_DATA!$A:$A,$B68,INPUT_DATA!$C:$C,"D"))</f>
        <v/>
      </c>
      <c r="BX68" s="311" t="str">
        <f>IF($B68=0,"",SUMIFS(INPUT_DATA!X:X,INPUT_DATA!$A:$A,$B68,INPUT_DATA!$C:$C,"D"))</f>
        <v/>
      </c>
      <c r="BY68" s="311" t="str">
        <f>IF($B68=0,"",SUMIFS(INPUT_DATA!Y:Y,INPUT_DATA!$A:$A,$B68,INPUT_DATA!$C:$C,"D"))</f>
        <v/>
      </c>
      <c r="BZ68" s="352" t="str">
        <f>IF($B68=0,"",SUMIFS(INPUT_DATA!Z:Z,INPUT_DATA!$A:$A,$B68,INPUT_DATA!$C:$C,"D"))</f>
        <v/>
      </c>
      <c r="CA68" s="352" t="str">
        <f>IF($B68=0,"",SUMIFS(INPUT_DATA!AA:AA,INPUT_DATA!$A:$A,$B68,INPUT_DATA!$C:$C,"D"))</f>
        <v/>
      </c>
      <c r="CB68" s="352" t="str">
        <f>IF($B68=0,"",SUMIFS(INPUT_DATA!AB:AB,INPUT_DATA!$A:$A,$B68,INPUT_DATA!$C:$C,"D"))</f>
        <v/>
      </c>
      <c r="CC68" s="311" t="str">
        <f>IF($B68=0,"",SUMIFS(INPUT_DATA!AC:AC,INPUT_DATA!$A:$A,$B68,INPUT_DATA!$C:$C,"D"))</f>
        <v/>
      </c>
      <c r="CD68" s="311" t="str">
        <f>IF($B68=0,"",SUMIFS(INPUT_DATA!AD:AD,INPUT_DATA!$A:$A,$B68,INPUT_DATA!$C:$C,"D"))</f>
        <v/>
      </c>
      <c r="CE68" s="311" t="str">
        <f>IF($B68=0,"",SUMIFS(INPUT_DATA!AE:AE,INPUT_DATA!$A:$A,$B68,INPUT_DATA!$C:$C,"D"))</f>
        <v/>
      </c>
      <c r="CF68" s="352" t="str">
        <f>IF($B68=0,"",SUMIFS(INPUT_DATA!AF:AF,INPUT_DATA!$A:$A,$B68,INPUT_DATA!$C:$C,"D"))</f>
        <v/>
      </c>
      <c r="CG68" s="352" t="str">
        <f>IF($B68=0,"",SUMIFS(INPUT_DATA!AG:AG,INPUT_DATA!$A:$A,$B68,INPUT_DATA!$C:$C,"D"))</f>
        <v/>
      </c>
      <c r="CH68" s="352" t="str">
        <f>IF($B68=0,"",SUMIFS(INPUT_DATA!AH:AH,INPUT_DATA!$A:$A,$B68,INPUT_DATA!$C:$C,"D"))</f>
        <v/>
      </c>
      <c r="CI68" s="153" t="str">
        <f>IF($B68=0,"",SUMIFS(INPUT_DATA!AI:AI,INPUT_DATA!$A:$A,$B68,INPUT_DATA!$C:$C,"D"))</f>
        <v/>
      </c>
      <c r="CJ68" s="153" t="str">
        <f>IF($B68=0,"",SUMIFS(INPUT_DATA!AJ:AJ,INPUT_DATA!$A:$A,$B68,INPUT_DATA!$C:$C,"D"))</f>
        <v/>
      </c>
      <c r="CK68" s="153" t="str">
        <f>IF($B68=0,"",SUMIFS(INPUT_DATA!AK:AK,INPUT_DATA!$A:$A,$B68,INPUT_DATA!$C:$C,"D"))</f>
        <v/>
      </c>
      <c r="CL68" s="153" t="str">
        <f>IF($B68=0,"",SUMIFS(INPUT_DATA!AL:AL,INPUT_DATA!$A:$A,$B68,INPUT_DATA!$C:$C,"D"))</f>
        <v/>
      </c>
      <c r="CM68" s="153" t="str">
        <f>IF($B68=0,"",SUMIFS(INPUT_DATA!AM:AM,INPUT_DATA!$A:$A,$B68,INPUT_DATA!$C:$C,"D"))</f>
        <v/>
      </c>
      <c r="CN68" s="153" t="str">
        <f>IF($B68=0,"",SUMIFS(INPUT_DATA!AN:AN,INPUT_DATA!$A:$A,$B68,INPUT_DATA!$C:$C,"D"))</f>
        <v/>
      </c>
      <c r="CO68" s="153" t="str">
        <f>IF($B68=0,"",SUMIFS(INPUT_DATA!AO:AO,INPUT_DATA!$A:$A,$B68,INPUT_DATA!$C:$C,"D"))</f>
        <v/>
      </c>
      <c r="CP68" s="153" t="str">
        <f>IF($B68=0,"",SUMIFS(INPUT_DATA!AP:AP,INPUT_DATA!$A:$A,$B68,INPUT_DATA!$C:$C,"D"))</f>
        <v/>
      </c>
      <c r="CQ68" s="153" t="str">
        <f>IF($B68=0,"",SUMIFS(INPUT_DATA!AQ:AQ,INPUT_DATA!$A:$A,$B68,INPUT_DATA!$C:$C,"D"))</f>
        <v/>
      </c>
      <c r="CR68" s="737" t="str">
        <f t="shared" si="32"/>
        <v/>
      </c>
      <c r="CS68" s="737" t="str">
        <f t="shared" si="33"/>
        <v/>
      </c>
      <c r="CT68" s="737" t="str">
        <f t="shared" si="34"/>
        <v/>
      </c>
      <c r="CU68" s="726" t="str">
        <f>IF($B68=0,"",SUMIFS(INPUT_DATA!AR:AR,INPUT_DATA!$A:$A,$B68,INPUT_DATA!$C:$C,"D"))</f>
        <v/>
      </c>
      <c r="CV68" s="726" t="str">
        <f>IF($B68=0,"",SUMIFS(INPUT_DATA!AS:AS,INPUT_DATA!$A:$A,$B68,INPUT_DATA!$C:$C,"D"))</f>
        <v/>
      </c>
      <c r="CW68" s="726" t="str">
        <f>IF($B68=0,"",SUMIFS(INPUT_DATA!AT:AT,INPUT_DATA!$A:$A,$B68,INPUT_DATA!$C:$C,"D"))</f>
        <v/>
      </c>
      <c r="CX68" s="726" t="str">
        <f t="shared" si="35"/>
        <v/>
      </c>
      <c r="CY68" s="737" t="str">
        <f t="shared" si="36"/>
        <v/>
      </c>
      <c r="CZ68" s="748" t="str">
        <f t="shared" si="37"/>
        <v/>
      </c>
      <c r="DA68" s="150"/>
    </row>
    <row r="69" spans="1:105" x14ac:dyDescent="0.2">
      <c r="A69" s="172">
        <f t="shared" si="40"/>
        <v>-22</v>
      </c>
      <c r="B69" s="720">
        <f>INPUT_DATA!BQ56</f>
        <v>0</v>
      </c>
      <c r="C69" s="725" t="str">
        <f>IF($B69=0,"",SUMIFS(INPUT_DATA!D:D,INPUT_DATA!$A:$A,$B69,INPUT_DATA!$C:$C,"S"))</f>
        <v/>
      </c>
      <c r="D69" s="726" t="str">
        <f>IF($B69=0,"",SUMIFS(INPUT_DATA!E:E,INPUT_DATA!$A:$A,$B69,INPUT_DATA!$C:$C,"S"))</f>
        <v/>
      </c>
      <c r="E69" s="727" t="str">
        <f>IF($B69=0,"",SUMIFS(INPUT_DATA!F:F,INPUT_DATA!$A:$A,$B69,INPUT_DATA!$C:$C,"S"))</f>
        <v/>
      </c>
      <c r="F69" s="727" t="str">
        <f>IF($B69=0,"",SUMIFS(INPUT_DATA!G:G,INPUT_DATA!$A:$A,$B69,INPUT_DATA!$C:$C,"S"))</f>
        <v/>
      </c>
      <c r="G69" s="727" t="str">
        <f>IF($B69=0,"",SUMIFS(INPUT_DATA!H:H,INPUT_DATA!$A:$A,$B69,INPUT_DATA!$C:$C,"S"))</f>
        <v/>
      </c>
      <c r="H69" s="727" t="str">
        <f>IF($B69=0,"",SUMIFS(INPUT_DATA!I:I,INPUT_DATA!$A:$A,$B69,INPUT_DATA!$C:$C,"S"))</f>
        <v/>
      </c>
      <c r="I69" s="727" t="str">
        <f>IF($B69=0,"",SUMIFS(INPUT_DATA!J:J,INPUT_DATA!$A:$A,$B69,INPUT_DATA!$C:$C,"S"))</f>
        <v/>
      </c>
      <c r="J69" s="727" t="str">
        <f>IF($B69=0,"",SUMIFS(INPUT_DATA!K:K,INPUT_DATA!$A:$A,$B69,INPUT_DATA!$C:$C,"S"))</f>
        <v/>
      </c>
      <c r="K69" s="727" t="str">
        <f>IF($B69=0,"",SUMIFS(INPUT_DATA!L:L,INPUT_DATA!$A:$A,$B69,INPUT_DATA!$C:$C,"S"))</f>
        <v/>
      </c>
      <c r="L69" s="727" t="str">
        <f>IF($B69=0,"",SUMIFS(INPUT_DATA!M:M,INPUT_DATA!$A:$A,$B69,INPUT_DATA!$C:$C,"S"))</f>
        <v/>
      </c>
      <c r="M69" s="727" t="str">
        <f>IF($B69=0,"",SUMIFS(INPUT_DATA!N:N,INPUT_DATA!$A:$A,$B69,INPUT_DATA!$C:$C,"S"))</f>
        <v/>
      </c>
      <c r="N69" s="727" t="str">
        <f>IF($B69=0,"",SUMIFS(INPUT_DATA!O:O,INPUT_DATA!$A:$A,$B69,INPUT_DATA!$C:$C,"S"))</f>
        <v/>
      </c>
      <c r="O69" s="728" t="str">
        <f t="shared" si="38"/>
        <v/>
      </c>
      <c r="P69" s="729" t="str">
        <f>IF($B69=0,"",SUMIFS(INPUT_DATA!P:P,INPUT_DATA!$A:$A,$B69,INPUT_DATA!$C:$C,"S"))</f>
        <v/>
      </c>
      <c r="Q69" s="729" t="str">
        <f t="shared" si="39"/>
        <v/>
      </c>
      <c r="R69" s="735" t="str">
        <f>IF($B69=0,"",SUMIFS(INPUT_DATA!Q:Q,INPUT_DATA!$A:$A,$B69,INPUT_DATA!$C:$C,"S"))</f>
        <v/>
      </c>
      <c r="S69" s="735" t="str">
        <f>IF($B69=0,"",SUMIFS(INPUT_DATA!R:R,INPUT_DATA!$A:$A,$B69,INPUT_DATA!$C:$C,"S"))</f>
        <v/>
      </c>
      <c r="T69" s="735" t="str">
        <f>IF($B69=0,"",SUMIFS(INPUT_DATA!S:S,INPUT_DATA!$A:$A,$B69,INPUT_DATA!$C:$C,"S"))</f>
        <v/>
      </c>
      <c r="U69" s="312" t="str">
        <f>IF($B69=0,"",SUMIFS(INPUT_DATA!T:T,INPUT_DATA!$A:$A,$B69,INPUT_DATA!$C:$C,"S"))</f>
        <v/>
      </c>
      <c r="V69" s="312" t="str">
        <f>IF($B69=0,"",SUMIFS(INPUT_DATA!U:U,INPUT_DATA!$A:$A,$B69,INPUT_DATA!$C:$C,"S"))</f>
        <v/>
      </c>
      <c r="W69" s="312" t="str">
        <f>IF($B69=0,"",SUMIFS(INPUT_DATA!V:V,INPUT_DATA!$A:$A,$B69,INPUT_DATA!$C:$C,"S"))</f>
        <v/>
      </c>
      <c r="X69" s="312" t="str">
        <f>IF($B69=0,"",SUMIFS(INPUT_DATA!W:W,INPUT_DATA!$A:$A,$B69,INPUT_DATA!$C:$C,"S"))</f>
        <v/>
      </c>
      <c r="Y69" s="312" t="str">
        <f>IF($B69=0,"",SUMIFS(INPUT_DATA!X:X,INPUT_DATA!$A:$A,$B69,INPUT_DATA!$C:$C,"S"))</f>
        <v/>
      </c>
      <c r="Z69" s="312" t="str">
        <f>IF($B69=0,"",SUMIFS(INPUT_DATA!Y:Y,INPUT_DATA!$A:$A,$B69,INPUT_DATA!$C:$C,"S"))</f>
        <v/>
      </c>
      <c r="AA69" s="312" t="str">
        <f>IF($B69=0,"",SUMIFS(INPUT_DATA!Z:Z,INPUT_DATA!$A:$A,$B69,INPUT_DATA!$C:$C,"S"))</f>
        <v/>
      </c>
      <c r="AB69" s="312" t="str">
        <f>IF($B69=0,"",SUMIFS(INPUT_DATA!AA:AA,INPUT_DATA!$A:$A,$B69,INPUT_DATA!$C:$C,"S"))</f>
        <v/>
      </c>
      <c r="AC69" s="312" t="str">
        <f>IF($B69=0,"",SUMIFS(INPUT_DATA!AB:AB,INPUT_DATA!$A:$A,$B69,INPUT_DATA!$C:$C,"S"))</f>
        <v/>
      </c>
      <c r="AD69" s="312" t="str">
        <f>IF($B69=0,"",SUMIFS(INPUT_DATA!AC:AC,INPUT_DATA!$A:$A,$B69,INPUT_DATA!$C:$C,"S"))</f>
        <v/>
      </c>
      <c r="AE69" s="312" t="str">
        <f>IF($B69=0,"",SUMIFS(INPUT_DATA!AD:AD,INPUT_DATA!$A:$A,$B69,INPUT_DATA!$C:$C,"S"))</f>
        <v/>
      </c>
      <c r="AF69" s="312" t="str">
        <f>IF($B69=0,"",SUMIFS(INPUT_DATA!AE:AE,INPUT_DATA!$A:$A,$B69,INPUT_DATA!$C:$C,"S"))</f>
        <v/>
      </c>
      <c r="AG69" s="312" t="str">
        <f>IF($B69=0,"",SUMIFS(INPUT_DATA!AF:AF,INPUT_DATA!$A:$A,$B69,INPUT_DATA!$C:$C,"S"))</f>
        <v/>
      </c>
      <c r="AH69" s="312" t="str">
        <f>IF($B69=0,"",SUMIFS(INPUT_DATA!AG:AG,INPUT_DATA!$A:$A,$B69,INPUT_DATA!$C:$C,"S"))</f>
        <v/>
      </c>
      <c r="AI69" s="312" t="str">
        <f>IF($B69=0,"",SUMIFS(INPUT_DATA!AH:AH,INPUT_DATA!$A:$A,$B69,INPUT_DATA!$C:$C,"S"))</f>
        <v/>
      </c>
      <c r="AJ69" s="312" t="str">
        <f>IF($B69=0,"",SUMIFS(INPUT_DATA!AI:AI,INPUT_DATA!$A:$A,$B69,INPUT_DATA!$C:$C,"S"))</f>
        <v/>
      </c>
      <c r="AK69" s="312" t="str">
        <f>IF($B69=0,"",SUMIFS(INPUT_DATA!AJ:AJ,INPUT_DATA!$A:$A,$B69,INPUT_DATA!$C:$C,"S"))</f>
        <v/>
      </c>
      <c r="AL69" s="312" t="str">
        <f>IF($B69=0,"",SUMIFS(INPUT_DATA!AK:AK,INPUT_DATA!$A:$A,$B69,INPUT_DATA!$C:$C,"S"))</f>
        <v/>
      </c>
      <c r="AM69" s="312" t="str">
        <f>IF($B69=0,"",SUMIFS(INPUT_DATA!AL:AL,INPUT_DATA!$A:$A,$B69,INPUT_DATA!$C:$C,"S"))</f>
        <v/>
      </c>
      <c r="AN69" s="312" t="str">
        <f>IF($B69=0,"",SUMIFS(INPUT_DATA!AM:AM,INPUT_DATA!$A:$A,$B69,INPUT_DATA!$C:$C,"S"))</f>
        <v/>
      </c>
      <c r="AO69" s="312" t="str">
        <f>IF($B69=0,"",SUMIFS(INPUT_DATA!AN:AN,INPUT_DATA!$A:$A,$B69,INPUT_DATA!$C:$C,"S"))</f>
        <v/>
      </c>
      <c r="AP69" s="312" t="str">
        <f>IF($B69=0,"",SUMIFS(INPUT_DATA!AO:AO,INPUT_DATA!$A:$A,$B69,INPUT_DATA!$C:$C,"S"))</f>
        <v/>
      </c>
      <c r="AQ69" s="312" t="str">
        <f>IF($B69=0,"",SUMIFS(INPUT_DATA!AP:AP,INPUT_DATA!$A:$A,$B69,INPUT_DATA!$C:$C,"S"))</f>
        <v/>
      </c>
      <c r="AR69" s="312" t="str">
        <f>IF($B69=0,"",SUMIFS(INPUT_DATA!AQ:AQ,INPUT_DATA!$A:$A,$B69,INPUT_DATA!$C:$C,"S"))</f>
        <v/>
      </c>
      <c r="AS69" s="736" t="str">
        <f t="shared" si="29"/>
        <v/>
      </c>
      <c r="AT69" s="737" t="str">
        <f t="shared" si="30"/>
        <v/>
      </c>
      <c r="AU69" s="738" t="str">
        <f t="shared" si="31"/>
        <v/>
      </c>
      <c r="AV69" s="736" t="str">
        <f>IF($B69=0,"",SUMIFS(INPUT_DATA!AR:AR,INPUT_DATA!$A:$A,$B69,INPUT_DATA!$C:$C,"S"))</f>
        <v/>
      </c>
      <c r="AW69" s="737" t="str">
        <f>IF($B69=0,"",SUMIFS(INPUT_DATA!AS:AS,INPUT_DATA!$A:$A,$B69,INPUT_DATA!$C:$C,"S"))</f>
        <v/>
      </c>
      <c r="AX69" s="738" t="str">
        <f>IF($B69=0,"",SUMIFS(INPUT_DATA!AT:AT,INPUT_DATA!$A:$A,$B69,INPUT_DATA!$C:$C,"S"))</f>
        <v/>
      </c>
      <c r="AY69" s="736" t="str">
        <f t="shared" si="15"/>
        <v/>
      </c>
      <c r="AZ69" s="737" t="str">
        <f t="shared" si="16"/>
        <v/>
      </c>
      <c r="BA69" s="738" t="str">
        <f t="shared" si="17"/>
        <v/>
      </c>
      <c r="BB69" s="150"/>
      <c r="BC69" s="725" t="str">
        <f>IF($B69=0,"",SUMIFS(INPUT_DATA!D:D,INPUT_DATA!$A:$A,$B69,INPUT_DATA!$C:$C,"D"))</f>
        <v/>
      </c>
      <c r="BD69" s="311" t="str">
        <f>IF($B69=0,"",SUMIFS(INPUT_DATA!F:F,INPUT_DATA!$A:$A,$B69,INPUT_DATA!$C:$C,"D"))</f>
        <v/>
      </c>
      <c r="BE69" s="311" t="str">
        <f>IF($B69=0,"",SUMIFS(INPUT_DATA!G:G,INPUT_DATA!$A:$A,$B69,INPUT_DATA!$C:$C,"D"))</f>
        <v/>
      </c>
      <c r="BF69" s="311" t="str">
        <f>IF($B69=0,"",SUMIFS(INPUT_DATA!H:H,INPUT_DATA!$A:$A,$B69,INPUT_DATA!$C:$C,"D"))</f>
        <v/>
      </c>
      <c r="BG69" s="311" t="str">
        <f>IF($B69=0,"",SUMIFS(INPUT_DATA!I:I,INPUT_DATA!$A:$A,$B69,INPUT_DATA!$C:$C,"D"))</f>
        <v/>
      </c>
      <c r="BH69" s="311" t="str">
        <f>IF($B69=0,"",SUMIFS(INPUT_DATA!J:J,INPUT_DATA!$A:$A,$B69,INPUT_DATA!$C:$C,"D"))</f>
        <v/>
      </c>
      <c r="BI69" s="311" t="str">
        <f>IF($B69=0,"",SUMIFS(INPUT_DATA!K:K,INPUT_DATA!$A:$A,$B69,INPUT_DATA!$C:$C,"D"))</f>
        <v/>
      </c>
      <c r="BJ69" s="311" t="str">
        <f>IF($B69=0,"",SUMIFS(INPUT_DATA!L:L,INPUT_DATA!$A:$A,$B69,INPUT_DATA!$C:$C,"D"))</f>
        <v/>
      </c>
      <c r="BK69" s="311" t="str">
        <f>IF($B69=0,"",SUMIFS(INPUT_DATA!M:M,INPUT_DATA!$A:$A,$B69,INPUT_DATA!$C:$C,"D"))</f>
        <v/>
      </c>
      <c r="BL69" s="311" t="str">
        <f>IF($B69=0,"",SUMIFS(INPUT_DATA!N:N,INPUT_DATA!$A:$A,$B69,INPUT_DATA!$C:$C,"D"))</f>
        <v/>
      </c>
      <c r="BM69" s="311" t="str">
        <f>IF($B69=0,"",SUMIFS(INPUT_DATA!O:O,INPUT_DATA!$A:$A,$B69,INPUT_DATA!$C:$C,"D"))</f>
        <v/>
      </c>
      <c r="BN69" s="741" t="str">
        <f t="shared" si="18"/>
        <v/>
      </c>
      <c r="BO69" s="741" t="str">
        <f>IF($B69=0,"",SUMIFS(INPUT_DATA!O:O,INPUT_DATA!$A:$A,$B69,INPUT_DATA!$C:$C,"D"))</f>
        <v/>
      </c>
      <c r="BP69" s="741" t="str">
        <f t="shared" si="19"/>
        <v/>
      </c>
      <c r="BQ69" s="725" t="str">
        <f>IF($B69=0,"",SUMIFS(INPUT_DATA!Q:Q,INPUT_DATA!$A:$A,$B69,INPUT_DATA!$C:$C,"D"))</f>
        <v/>
      </c>
      <c r="BR69" s="747" t="str">
        <f>IF($B69=0,"",SUMIFS(INPUT_DATA!R:R,INPUT_DATA!$A:$A,$B69,INPUT_DATA!$C:$C,"D"))</f>
        <v/>
      </c>
      <c r="BS69" s="747" t="str">
        <f>IF($B69=0,"",SUMIFS(INPUT_DATA!S:S,INPUT_DATA!$A:$A,$B69,INPUT_DATA!$C:$C,"D"))</f>
        <v/>
      </c>
      <c r="BT69" s="311" t="str">
        <f>IF($B69=0,"",SUMIFS(INPUT_DATA!T:T,INPUT_DATA!$A:$A,$B69,INPUT_DATA!$C:$C,"D"))</f>
        <v/>
      </c>
      <c r="BU69" s="311" t="str">
        <f>IF($B69=0,"",SUMIFS(INPUT_DATA!U:U,INPUT_DATA!$A:$A,$B69,INPUT_DATA!$C:$C,"D"))</f>
        <v/>
      </c>
      <c r="BV69" s="311" t="str">
        <f>IF($B69=0,"",SUMIFS(INPUT_DATA!V:V,INPUT_DATA!$A:$A,$B69,INPUT_DATA!$C:$C,"D"))</f>
        <v/>
      </c>
      <c r="BW69" s="311" t="str">
        <f>IF($B69=0,"",SUMIFS(INPUT_DATA!W:W,INPUT_DATA!$A:$A,$B69,INPUT_DATA!$C:$C,"D"))</f>
        <v/>
      </c>
      <c r="BX69" s="311" t="str">
        <f>IF($B69=0,"",SUMIFS(INPUT_DATA!X:X,INPUT_DATA!$A:$A,$B69,INPUT_DATA!$C:$C,"D"))</f>
        <v/>
      </c>
      <c r="BY69" s="311" t="str">
        <f>IF($B69=0,"",SUMIFS(INPUT_DATA!Y:Y,INPUT_DATA!$A:$A,$B69,INPUT_DATA!$C:$C,"D"))</f>
        <v/>
      </c>
      <c r="BZ69" s="352" t="str">
        <f>IF($B69=0,"",SUMIFS(INPUT_DATA!Z:Z,INPUT_DATA!$A:$A,$B69,INPUT_DATA!$C:$C,"D"))</f>
        <v/>
      </c>
      <c r="CA69" s="352" t="str">
        <f>IF($B69=0,"",SUMIFS(INPUT_DATA!AA:AA,INPUT_DATA!$A:$A,$B69,INPUT_DATA!$C:$C,"D"))</f>
        <v/>
      </c>
      <c r="CB69" s="352" t="str">
        <f>IF($B69=0,"",SUMIFS(INPUT_DATA!AB:AB,INPUT_DATA!$A:$A,$B69,INPUT_DATA!$C:$C,"D"))</f>
        <v/>
      </c>
      <c r="CC69" s="311" t="str">
        <f>IF($B69=0,"",SUMIFS(INPUT_DATA!AC:AC,INPUT_DATA!$A:$A,$B69,INPUT_DATA!$C:$C,"D"))</f>
        <v/>
      </c>
      <c r="CD69" s="311" t="str">
        <f>IF($B69=0,"",SUMIFS(INPUT_DATA!AD:AD,INPUT_DATA!$A:$A,$B69,INPUT_DATA!$C:$C,"D"))</f>
        <v/>
      </c>
      <c r="CE69" s="311" t="str">
        <f>IF($B69=0,"",SUMIFS(INPUT_DATA!AE:AE,INPUT_DATA!$A:$A,$B69,INPUT_DATA!$C:$C,"D"))</f>
        <v/>
      </c>
      <c r="CF69" s="352" t="str">
        <f>IF($B69=0,"",SUMIFS(INPUT_DATA!AF:AF,INPUT_DATA!$A:$A,$B69,INPUT_DATA!$C:$C,"D"))</f>
        <v/>
      </c>
      <c r="CG69" s="352" t="str">
        <f>IF($B69=0,"",SUMIFS(INPUT_DATA!AG:AG,INPUT_DATA!$A:$A,$B69,INPUT_DATA!$C:$C,"D"))</f>
        <v/>
      </c>
      <c r="CH69" s="352" t="str">
        <f>IF($B69=0,"",SUMIFS(INPUT_DATA!AH:AH,INPUT_DATA!$A:$A,$B69,INPUT_DATA!$C:$C,"D"))</f>
        <v/>
      </c>
      <c r="CI69" s="153" t="str">
        <f>IF($B69=0,"",SUMIFS(INPUT_DATA!AI:AI,INPUT_DATA!$A:$A,$B69,INPUT_DATA!$C:$C,"D"))</f>
        <v/>
      </c>
      <c r="CJ69" s="153" t="str">
        <f>IF($B69=0,"",SUMIFS(INPUT_DATA!AJ:AJ,INPUT_DATA!$A:$A,$B69,INPUT_DATA!$C:$C,"D"))</f>
        <v/>
      </c>
      <c r="CK69" s="153" t="str">
        <f>IF($B69=0,"",SUMIFS(INPUT_DATA!AK:AK,INPUT_DATA!$A:$A,$B69,INPUT_DATA!$C:$C,"D"))</f>
        <v/>
      </c>
      <c r="CL69" s="153" t="str">
        <f>IF($B69=0,"",SUMIFS(INPUT_DATA!AL:AL,INPUT_DATA!$A:$A,$B69,INPUT_DATA!$C:$C,"D"))</f>
        <v/>
      </c>
      <c r="CM69" s="153" t="str">
        <f>IF($B69=0,"",SUMIFS(INPUT_DATA!AM:AM,INPUT_DATA!$A:$A,$B69,INPUT_DATA!$C:$C,"D"))</f>
        <v/>
      </c>
      <c r="CN69" s="153" t="str">
        <f>IF($B69=0,"",SUMIFS(INPUT_DATA!AN:AN,INPUT_DATA!$A:$A,$B69,INPUT_DATA!$C:$C,"D"))</f>
        <v/>
      </c>
      <c r="CO69" s="153" t="str">
        <f>IF($B69=0,"",SUMIFS(INPUT_DATA!AO:AO,INPUT_DATA!$A:$A,$B69,INPUT_DATA!$C:$C,"D"))</f>
        <v/>
      </c>
      <c r="CP69" s="153" t="str">
        <f>IF($B69=0,"",SUMIFS(INPUT_DATA!AP:AP,INPUT_DATA!$A:$A,$B69,INPUT_DATA!$C:$C,"D"))</f>
        <v/>
      </c>
      <c r="CQ69" s="153" t="str">
        <f>IF($B69=0,"",SUMIFS(INPUT_DATA!AQ:AQ,INPUT_DATA!$A:$A,$B69,INPUT_DATA!$C:$C,"D"))</f>
        <v/>
      </c>
      <c r="CR69" s="737" t="str">
        <f t="shared" si="32"/>
        <v/>
      </c>
      <c r="CS69" s="737" t="str">
        <f t="shared" si="33"/>
        <v/>
      </c>
      <c r="CT69" s="737" t="str">
        <f t="shared" si="34"/>
        <v/>
      </c>
      <c r="CU69" s="726" t="str">
        <f>IF($B69=0,"",SUMIFS(INPUT_DATA!AR:AR,INPUT_DATA!$A:$A,$B69,INPUT_DATA!$C:$C,"D"))</f>
        <v/>
      </c>
      <c r="CV69" s="726" t="str">
        <f>IF($B69=0,"",SUMIFS(INPUT_DATA!AS:AS,INPUT_DATA!$A:$A,$B69,INPUT_DATA!$C:$C,"D"))</f>
        <v/>
      </c>
      <c r="CW69" s="726" t="str">
        <f>IF($B69=0,"",SUMIFS(INPUT_DATA!AT:AT,INPUT_DATA!$A:$A,$B69,INPUT_DATA!$C:$C,"D"))</f>
        <v/>
      </c>
      <c r="CX69" s="726" t="str">
        <f t="shared" si="35"/>
        <v/>
      </c>
      <c r="CY69" s="737" t="str">
        <f t="shared" si="36"/>
        <v/>
      </c>
      <c r="CZ69" s="748" t="str">
        <f t="shared" si="37"/>
        <v/>
      </c>
      <c r="DA69" s="150"/>
    </row>
    <row r="70" spans="1:105" x14ac:dyDescent="0.2">
      <c r="A70" s="172">
        <f t="shared" si="40"/>
        <v>-23</v>
      </c>
      <c r="B70" s="720">
        <f>INPUT_DATA!BQ57</f>
        <v>0</v>
      </c>
      <c r="C70" s="725" t="str">
        <f>IF($B70=0,"",SUMIFS(INPUT_DATA!D:D,INPUT_DATA!$A:$A,$B70,INPUT_DATA!$C:$C,"S"))</f>
        <v/>
      </c>
      <c r="D70" s="726" t="str">
        <f>IF($B70=0,"",SUMIFS(INPUT_DATA!E:E,INPUT_DATA!$A:$A,$B70,INPUT_DATA!$C:$C,"S"))</f>
        <v/>
      </c>
      <c r="E70" s="727" t="str">
        <f>IF($B70=0,"",SUMIFS(INPUT_DATA!F:F,INPUT_DATA!$A:$A,$B70,INPUT_DATA!$C:$C,"S"))</f>
        <v/>
      </c>
      <c r="F70" s="727" t="str">
        <f>IF($B70=0,"",SUMIFS(INPUT_DATA!G:G,INPUT_DATA!$A:$A,$B70,INPUT_DATA!$C:$C,"S"))</f>
        <v/>
      </c>
      <c r="G70" s="727" t="str">
        <f>IF($B70=0,"",SUMIFS(INPUT_DATA!H:H,INPUT_DATA!$A:$A,$B70,INPUT_DATA!$C:$C,"S"))</f>
        <v/>
      </c>
      <c r="H70" s="727" t="str">
        <f>IF($B70=0,"",SUMIFS(INPUT_DATA!I:I,INPUT_DATA!$A:$A,$B70,INPUT_DATA!$C:$C,"S"))</f>
        <v/>
      </c>
      <c r="I70" s="727" t="str">
        <f>IF($B70=0,"",SUMIFS(INPUT_DATA!J:J,INPUT_DATA!$A:$A,$B70,INPUT_DATA!$C:$C,"S"))</f>
        <v/>
      </c>
      <c r="J70" s="727" t="str">
        <f>IF($B70=0,"",SUMIFS(INPUT_DATA!K:K,INPUT_DATA!$A:$A,$B70,INPUT_DATA!$C:$C,"S"))</f>
        <v/>
      </c>
      <c r="K70" s="727" t="str">
        <f>IF($B70=0,"",SUMIFS(INPUT_DATA!L:L,INPUT_DATA!$A:$A,$B70,INPUT_DATA!$C:$C,"S"))</f>
        <v/>
      </c>
      <c r="L70" s="727" t="str">
        <f>IF($B70=0,"",SUMIFS(INPUT_DATA!M:M,INPUT_DATA!$A:$A,$B70,INPUT_DATA!$C:$C,"S"))</f>
        <v/>
      </c>
      <c r="M70" s="727" t="str">
        <f>IF($B70=0,"",SUMIFS(INPUT_DATA!N:N,INPUT_DATA!$A:$A,$B70,INPUT_DATA!$C:$C,"S"))</f>
        <v/>
      </c>
      <c r="N70" s="727" t="str">
        <f>IF($B70=0,"",SUMIFS(INPUT_DATA!O:O,INPUT_DATA!$A:$A,$B70,INPUT_DATA!$C:$C,"S"))</f>
        <v/>
      </c>
      <c r="O70" s="728" t="str">
        <f t="shared" si="38"/>
        <v/>
      </c>
      <c r="P70" s="729" t="str">
        <f>IF($B70=0,"",SUMIFS(INPUT_DATA!P:P,INPUT_DATA!$A:$A,$B70,INPUT_DATA!$C:$C,"S"))</f>
        <v/>
      </c>
      <c r="Q70" s="729" t="str">
        <f t="shared" si="39"/>
        <v/>
      </c>
      <c r="R70" s="735" t="str">
        <f>IF($B70=0,"",SUMIFS(INPUT_DATA!Q:Q,INPUT_DATA!$A:$A,$B70,INPUT_DATA!$C:$C,"S"))</f>
        <v/>
      </c>
      <c r="S70" s="735" t="str">
        <f>IF($B70=0,"",SUMIFS(INPUT_DATA!R:R,INPUT_DATA!$A:$A,$B70,INPUT_DATA!$C:$C,"S"))</f>
        <v/>
      </c>
      <c r="T70" s="735" t="str">
        <f>IF($B70=0,"",SUMIFS(INPUT_DATA!S:S,INPUT_DATA!$A:$A,$B70,INPUT_DATA!$C:$C,"S"))</f>
        <v/>
      </c>
      <c r="U70" s="312" t="str">
        <f>IF($B70=0,"",SUMIFS(INPUT_DATA!T:T,INPUT_DATA!$A:$A,$B70,INPUT_DATA!$C:$C,"S"))</f>
        <v/>
      </c>
      <c r="V70" s="312" t="str">
        <f>IF($B70=0,"",SUMIFS(INPUT_DATA!U:U,INPUT_DATA!$A:$A,$B70,INPUT_DATA!$C:$C,"S"))</f>
        <v/>
      </c>
      <c r="W70" s="312" t="str">
        <f>IF($B70=0,"",SUMIFS(INPUT_DATA!V:V,INPUT_DATA!$A:$A,$B70,INPUT_DATA!$C:$C,"S"))</f>
        <v/>
      </c>
      <c r="X70" s="312" t="str">
        <f>IF($B70=0,"",SUMIFS(INPUT_DATA!W:W,INPUT_DATA!$A:$A,$B70,INPUT_DATA!$C:$C,"S"))</f>
        <v/>
      </c>
      <c r="Y70" s="312" t="str">
        <f>IF($B70=0,"",SUMIFS(INPUT_DATA!X:X,INPUT_DATA!$A:$A,$B70,INPUT_DATA!$C:$C,"S"))</f>
        <v/>
      </c>
      <c r="Z70" s="312" t="str">
        <f>IF($B70=0,"",SUMIFS(INPUT_DATA!Y:Y,INPUT_DATA!$A:$A,$B70,INPUT_DATA!$C:$C,"S"))</f>
        <v/>
      </c>
      <c r="AA70" s="312" t="str">
        <f>IF($B70=0,"",SUMIFS(INPUT_DATA!Z:Z,INPUT_DATA!$A:$A,$B70,INPUT_DATA!$C:$C,"S"))</f>
        <v/>
      </c>
      <c r="AB70" s="312" t="str">
        <f>IF($B70=0,"",SUMIFS(INPUT_DATA!AA:AA,INPUT_DATA!$A:$A,$B70,INPUT_DATA!$C:$C,"S"))</f>
        <v/>
      </c>
      <c r="AC70" s="312" t="str">
        <f>IF($B70=0,"",SUMIFS(INPUT_DATA!AB:AB,INPUT_DATA!$A:$A,$B70,INPUT_DATA!$C:$C,"S"))</f>
        <v/>
      </c>
      <c r="AD70" s="312" t="str">
        <f>IF($B70=0,"",SUMIFS(INPUT_DATA!AC:AC,INPUT_DATA!$A:$A,$B70,INPUT_DATA!$C:$C,"S"))</f>
        <v/>
      </c>
      <c r="AE70" s="312" t="str">
        <f>IF($B70=0,"",SUMIFS(INPUT_DATA!AD:AD,INPUT_DATA!$A:$A,$B70,INPUT_DATA!$C:$C,"S"))</f>
        <v/>
      </c>
      <c r="AF70" s="312" t="str">
        <f>IF($B70=0,"",SUMIFS(INPUT_DATA!AE:AE,INPUT_DATA!$A:$A,$B70,INPUT_DATA!$C:$C,"S"))</f>
        <v/>
      </c>
      <c r="AG70" s="312" t="str">
        <f>IF($B70=0,"",SUMIFS(INPUT_DATA!AF:AF,INPUT_DATA!$A:$A,$B70,INPUT_DATA!$C:$C,"S"))</f>
        <v/>
      </c>
      <c r="AH70" s="312" t="str">
        <f>IF($B70=0,"",SUMIFS(INPUT_DATA!AG:AG,INPUT_DATA!$A:$A,$B70,INPUT_DATA!$C:$C,"S"))</f>
        <v/>
      </c>
      <c r="AI70" s="312" t="str">
        <f>IF($B70=0,"",SUMIFS(INPUT_DATA!AH:AH,INPUT_DATA!$A:$A,$B70,INPUT_DATA!$C:$C,"S"))</f>
        <v/>
      </c>
      <c r="AJ70" s="312" t="str">
        <f>IF($B70=0,"",SUMIFS(INPUT_DATA!AI:AI,INPUT_DATA!$A:$A,$B70,INPUT_DATA!$C:$C,"S"))</f>
        <v/>
      </c>
      <c r="AK70" s="312" t="str">
        <f>IF($B70=0,"",SUMIFS(INPUT_DATA!AJ:AJ,INPUT_DATA!$A:$A,$B70,INPUT_DATA!$C:$C,"S"))</f>
        <v/>
      </c>
      <c r="AL70" s="312" t="str">
        <f>IF($B70=0,"",SUMIFS(INPUT_DATA!AK:AK,INPUT_DATA!$A:$A,$B70,INPUT_DATA!$C:$C,"S"))</f>
        <v/>
      </c>
      <c r="AM70" s="312" t="str">
        <f>IF($B70=0,"",SUMIFS(INPUT_DATA!AL:AL,INPUT_DATA!$A:$A,$B70,INPUT_DATA!$C:$C,"S"))</f>
        <v/>
      </c>
      <c r="AN70" s="312" t="str">
        <f>IF($B70=0,"",SUMIFS(INPUT_DATA!AM:AM,INPUT_DATA!$A:$A,$B70,INPUT_DATA!$C:$C,"S"))</f>
        <v/>
      </c>
      <c r="AO70" s="312" t="str">
        <f>IF($B70=0,"",SUMIFS(INPUT_DATA!AN:AN,INPUT_DATA!$A:$A,$B70,INPUT_DATA!$C:$C,"S"))</f>
        <v/>
      </c>
      <c r="AP70" s="312" t="str">
        <f>IF($B70=0,"",SUMIFS(INPUT_DATA!AO:AO,INPUT_DATA!$A:$A,$B70,INPUT_DATA!$C:$C,"S"))</f>
        <v/>
      </c>
      <c r="AQ70" s="312" t="str">
        <f>IF($B70=0,"",SUMIFS(INPUT_DATA!AP:AP,INPUT_DATA!$A:$A,$B70,INPUT_DATA!$C:$C,"S"))</f>
        <v/>
      </c>
      <c r="AR70" s="312" t="str">
        <f>IF($B70=0,"",SUMIFS(INPUT_DATA!AQ:AQ,INPUT_DATA!$A:$A,$B70,INPUT_DATA!$C:$C,"S"))</f>
        <v/>
      </c>
      <c r="AS70" s="736" t="str">
        <f t="shared" si="29"/>
        <v/>
      </c>
      <c r="AT70" s="737" t="str">
        <f t="shared" si="30"/>
        <v/>
      </c>
      <c r="AU70" s="738" t="str">
        <f t="shared" si="31"/>
        <v/>
      </c>
      <c r="AV70" s="736" t="str">
        <f>IF($B70=0,"",SUMIFS(INPUT_DATA!AR:AR,INPUT_DATA!$A:$A,$B70,INPUT_DATA!$C:$C,"S"))</f>
        <v/>
      </c>
      <c r="AW70" s="737" t="str">
        <f>IF($B70=0,"",SUMIFS(INPUT_DATA!AS:AS,INPUT_DATA!$A:$A,$B70,INPUT_DATA!$C:$C,"S"))</f>
        <v/>
      </c>
      <c r="AX70" s="738" t="str">
        <f>IF($B70=0,"",SUMIFS(INPUT_DATA!AT:AT,INPUT_DATA!$A:$A,$B70,INPUT_DATA!$C:$C,"S"))</f>
        <v/>
      </c>
      <c r="AY70" s="736" t="str">
        <f t="shared" si="15"/>
        <v/>
      </c>
      <c r="AZ70" s="737" t="str">
        <f t="shared" si="16"/>
        <v/>
      </c>
      <c r="BA70" s="738" t="str">
        <f t="shared" si="17"/>
        <v/>
      </c>
      <c r="BB70" s="150"/>
      <c r="BC70" s="725" t="str">
        <f>IF($B70=0,"",SUMIFS(INPUT_DATA!D:D,INPUT_DATA!$A:$A,$B70,INPUT_DATA!$C:$C,"D"))</f>
        <v/>
      </c>
      <c r="BD70" s="311" t="str">
        <f>IF($B70=0,"",SUMIFS(INPUT_DATA!F:F,INPUT_DATA!$A:$A,$B70,INPUT_DATA!$C:$C,"D"))</f>
        <v/>
      </c>
      <c r="BE70" s="311" t="str">
        <f>IF($B70=0,"",SUMIFS(INPUT_DATA!G:G,INPUT_DATA!$A:$A,$B70,INPUT_DATA!$C:$C,"D"))</f>
        <v/>
      </c>
      <c r="BF70" s="311" t="str">
        <f>IF($B70=0,"",SUMIFS(INPUT_DATA!H:H,INPUT_DATA!$A:$A,$B70,INPUT_DATA!$C:$C,"D"))</f>
        <v/>
      </c>
      <c r="BG70" s="311" t="str">
        <f>IF($B70=0,"",SUMIFS(INPUT_DATA!I:I,INPUT_DATA!$A:$A,$B70,INPUT_DATA!$C:$C,"D"))</f>
        <v/>
      </c>
      <c r="BH70" s="311" t="str">
        <f>IF($B70=0,"",SUMIFS(INPUT_DATA!J:J,INPUT_DATA!$A:$A,$B70,INPUT_DATA!$C:$C,"D"))</f>
        <v/>
      </c>
      <c r="BI70" s="311" t="str">
        <f>IF($B70=0,"",SUMIFS(INPUT_DATA!K:K,INPUT_DATA!$A:$A,$B70,INPUT_DATA!$C:$C,"D"))</f>
        <v/>
      </c>
      <c r="BJ70" s="311" t="str">
        <f>IF($B70=0,"",SUMIFS(INPUT_DATA!L:L,INPUT_DATA!$A:$A,$B70,INPUT_DATA!$C:$C,"D"))</f>
        <v/>
      </c>
      <c r="BK70" s="311" t="str">
        <f>IF($B70=0,"",SUMIFS(INPUT_DATA!M:M,INPUT_DATA!$A:$A,$B70,INPUT_DATA!$C:$C,"D"))</f>
        <v/>
      </c>
      <c r="BL70" s="311" t="str">
        <f>IF($B70=0,"",SUMIFS(INPUT_DATA!N:N,INPUT_DATA!$A:$A,$B70,INPUT_DATA!$C:$C,"D"))</f>
        <v/>
      </c>
      <c r="BM70" s="311" t="str">
        <f>IF($B70=0,"",SUMIFS(INPUT_DATA!O:O,INPUT_DATA!$A:$A,$B70,INPUT_DATA!$C:$C,"D"))</f>
        <v/>
      </c>
      <c r="BN70" s="741" t="str">
        <f t="shared" si="18"/>
        <v/>
      </c>
      <c r="BO70" s="741" t="str">
        <f>IF($B70=0,"",SUMIFS(INPUT_DATA!O:O,INPUT_DATA!$A:$A,$B70,INPUT_DATA!$C:$C,"D"))</f>
        <v/>
      </c>
      <c r="BP70" s="741" t="str">
        <f t="shared" si="19"/>
        <v/>
      </c>
      <c r="BQ70" s="725" t="str">
        <f>IF($B70=0,"",SUMIFS(INPUT_DATA!Q:Q,INPUT_DATA!$A:$A,$B70,INPUT_DATA!$C:$C,"D"))</f>
        <v/>
      </c>
      <c r="BR70" s="747" t="str">
        <f>IF($B70=0,"",SUMIFS(INPUT_DATA!R:R,INPUT_DATA!$A:$A,$B70,INPUT_DATA!$C:$C,"D"))</f>
        <v/>
      </c>
      <c r="BS70" s="747" t="str">
        <f>IF($B70=0,"",SUMIFS(INPUT_DATA!S:S,INPUT_DATA!$A:$A,$B70,INPUT_DATA!$C:$C,"D"))</f>
        <v/>
      </c>
      <c r="BT70" s="311" t="str">
        <f>IF($B70=0,"",SUMIFS(INPUT_DATA!T:T,INPUT_DATA!$A:$A,$B70,INPUT_DATA!$C:$C,"D"))</f>
        <v/>
      </c>
      <c r="BU70" s="311" t="str">
        <f>IF($B70=0,"",SUMIFS(INPUT_DATA!U:U,INPUT_DATA!$A:$A,$B70,INPUT_DATA!$C:$C,"D"))</f>
        <v/>
      </c>
      <c r="BV70" s="311" t="str">
        <f>IF($B70=0,"",SUMIFS(INPUT_DATA!V:V,INPUT_DATA!$A:$A,$B70,INPUT_DATA!$C:$C,"D"))</f>
        <v/>
      </c>
      <c r="BW70" s="311" t="str">
        <f>IF($B70=0,"",SUMIFS(INPUT_DATA!W:W,INPUT_DATA!$A:$A,$B70,INPUT_DATA!$C:$C,"D"))</f>
        <v/>
      </c>
      <c r="BX70" s="311" t="str">
        <f>IF($B70=0,"",SUMIFS(INPUT_DATA!X:X,INPUT_DATA!$A:$A,$B70,INPUT_DATA!$C:$C,"D"))</f>
        <v/>
      </c>
      <c r="BY70" s="311" t="str">
        <f>IF($B70=0,"",SUMIFS(INPUT_DATA!Y:Y,INPUT_DATA!$A:$A,$B70,INPUT_DATA!$C:$C,"D"))</f>
        <v/>
      </c>
      <c r="BZ70" s="352" t="str">
        <f>IF($B70=0,"",SUMIFS(INPUT_DATA!Z:Z,INPUT_DATA!$A:$A,$B70,INPUT_DATA!$C:$C,"D"))</f>
        <v/>
      </c>
      <c r="CA70" s="352" t="str">
        <f>IF($B70=0,"",SUMIFS(INPUT_DATA!AA:AA,INPUT_DATA!$A:$A,$B70,INPUT_DATA!$C:$C,"D"))</f>
        <v/>
      </c>
      <c r="CB70" s="352" t="str">
        <f>IF($B70=0,"",SUMIFS(INPUT_DATA!AB:AB,INPUT_DATA!$A:$A,$B70,INPUT_DATA!$C:$C,"D"))</f>
        <v/>
      </c>
      <c r="CC70" s="311" t="str">
        <f>IF($B70=0,"",SUMIFS(INPUT_DATA!AC:AC,INPUT_DATA!$A:$A,$B70,INPUT_DATA!$C:$C,"D"))</f>
        <v/>
      </c>
      <c r="CD70" s="311" t="str">
        <f>IF($B70=0,"",SUMIFS(INPUT_DATA!AD:AD,INPUT_DATA!$A:$A,$B70,INPUT_DATA!$C:$C,"D"))</f>
        <v/>
      </c>
      <c r="CE70" s="311" t="str">
        <f>IF($B70=0,"",SUMIFS(INPUT_DATA!AE:AE,INPUT_DATA!$A:$A,$B70,INPUT_DATA!$C:$C,"D"))</f>
        <v/>
      </c>
      <c r="CF70" s="352" t="str">
        <f>IF($B70=0,"",SUMIFS(INPUT_DATA!AF:AF,INPUT_DATA!$A:$A,$B70,INPUT_DATA!$C:$C,"D"))</f>
        <v/>
      </c>
      <c r="CG70" s="352" t="str">
        <f>IF($B70=0,"",SUMIFS(INPUT_DATA!AG:AG,INPUT_DATA!$A:$A,$B70,INPUT_DATA!$C:$C,"D"))</f>
        <v/>
      </c>
      <c r="CH70" s="352" t="str">
        <f>IF($B70=0,"",SUMIFS(INPUT_DATA!AH:AH,INPUT_DATA!$A:$A,$B70,INPUT_DATA!$C:$C,"D"))</f>
        <v/>
      </c>
      <c r="CI70" s="153" t="str">
        <f>IF($B70=0,"",SUMIFS(INPUT_DATA!AI:AI,INPUT_DATA!$A:$A,$B70,INPUT_DATA!$C:$C,"D"))</f>
        <v/>
      </c>
      <c r="CJ70" s="153" t="str">
        <f>IF($B70=0,"",SUMIFS(INPUT_DATA!AJ:AJ,INPUT_DATA!$A:$A,$B70,INPUT_DATA!$C:$C,"D"))</f>
        <v/>
      </c>
      <c r="CK70" s="153" t="str">
        <f>IF($B70=0,"",SUMIFS(INPUT_DATA!AK:AK,INPUT_DATA!$A:$A,$B70,INPUT_DATA!$C:$C,"D"))</f>
        <v/>
      </c>
      <c r="CL70" s="153" t="str">
        <f>IF($B70=0,"",SUMIFS(INPUT_DATA!AL:AL,INPUT_DATA!$A:$A,$B70,INPUT_DATA!$C:$C,"D"))</f>
        <v/>
      </c>
      <c r="CM70" s="153" t="str">
        <f>IF($B70=0,"",SUMIFS(INPUT_DATA!AM:AM,INPUT_DATA!$A:$A,$B70,INPUT_DATA!$C:$C,"D"))</f>
        <v/>
      </c>
      <c r="CN70" s="153" t="str">
        <f>IF($B70=0,"",SUMIFS(INPUT_DATA!AN:AN,INPUT_DATA!$A:$A,$B70,INPUT_DATA!$C:$C,"D"))</f>
        <v/>
      </c>
      <c r="CO70" s="153" t="str">
        <f>IF($B70=0,"",SUMIFS(INPUT_DATA!AO:AO,INPUT_DATA!$A:$A,$B70,INPUT_DATA!$C:$C,"D"))</f>
        <v/>
      </c>
      <c r="CP70" s="153" t="str">
        <f>IF($B70=0,"",SUMIFS(INPUT_DATA!AP:AP,INPUT_DATA!$A:$A,$B70,INPUT_DATA!$C:$C,"D"))</f>
        <v/>
      </c>
      <c r="CQ70" s="153" t="str">
        <f>IF($B70=0,"",SUMIFS(INPUT_DATA!AQ:AQ,INPUT_DATA!$A:$A,$B70,INPUT_DATA!$C:$C,"D"))</f>
        <v/>
      </c>
      <c r="CR70" s="737" t="str">
        <f t="shared" si="32"/>
        <v/>
      </c>
      <c r="CS70" s="737" t="str">
        <f t="shared" si="33"/>
        <v/>
      </c>
      <c r="CT70" s="737" t="str">
        <f t="shared" si="34"/>
        <v/>
      </c>
      <c r="CU70" s="726" t="str">
        <f>IF($B70=0,"",SUMIFS(INPUT_DATA!AR:AR,INPUT_DATA!$A:$A,$B70,INPUT_DATA!$C:$C,"D"))</f>
        <v/>
      </c>
      <c r="CV70" s="726" t="str">
        <f>IF($B70=0,"",SUMIFS(INPUT_DATA!AS:AS,INPUT_DATA!$A:$A,$B70,INPUT_DATA!$C:$C,"D"))</f>
        <v/>
      </c>
      <c r="CW70" s="726" t="str">
        <f>IF($B70=0,"",SUMIFS(INPUT_DATA!AT:AT,INPUT_DATA!$A:$A,$B70,INPUT_DATA!$C:$C,"D"))</f>
        <v/>
      </c>
      <c r="CX70" s="726" t="str">
        <f t="shared" si="35"/>
        <v/>
      </c>
      <c r="CY70" s="737" t="str">
        <f t="shared" si="36"/>
        <v/>
      </c>
      <c r="CZ70" s="748" t="str">
        <f t="shared" si="37"/>
        <v/>
      </c>
      <c r="DA70" s="150"/>
    </row>
    <row r="71" spans="1:105" x14ac:dyDescent="0.2">
      <c r="A71" s="172">
        <f t="shared" si="40"/>
        <v>-24</v>
      </c>
      <c r="B71" s="720">
        <f>INPUT_DATA!BQ58</f>
        <v>0</v>
      </c>
      <c r="C71" s="725" t="str">
        <f>IF($B71=0,"",SUMIFS(INPUT_DATA!D:D,INPUT_DATA!$A:$A,$B71,INPUT_DATA!$C:$C,"S"))</f>
        <v/>
      </c>
      <c r="D71" s="726" t="str">
        <f>IF($B71=0,"",SUMIFS(INPUT_DATA!E:E,INPUT_DATA!$A:$A,$B71,INPUT_DATA!$C:$C,"S"))</f>
        <v/>
      </c>
      <c r="E71" s="727" t="str">
        <f>IF($B71=0,"",SUMIFS(INPUT_DATA!F:F,INPUT_DATA!$A:$A,$B71,INPUT_DATA!$C:$C,"S"))</f>
        <v/>
      </c>
      <c r="F71" s="727" t="str">
        <f>IF($B71=0,"",SUMIFS(INPUT_DATA!G:G,INPUT_DATA!$A:$A,$B71,INPUT_DATA!$C:$C,"S"))</f>
        <v/>
      </c>
      <c r="G71" s="727" t="str">
        <f>IF($B71=0,"",SUMIFS(INPUT_DATA!H:H,INPUT_DATA!$A:$A,$B71,INPUT_DATA!$C:$C,"S"))</f>
        <v/>
      </c>
      <c r="H71" s="727" t="str">
        <f>IF($B71=0,"",SUMIFS(INPUT_DATA!I:I,INPUT_DATA!$A:$A,$B71,INPUT_DATA!$C:$C,"S"))</f>
        <v/>
      </c>
      <c r="I71" s="727" t="str">
        <f>IF($B71=0,"",SUMIFS(INPUT_DATA!J:J,INPUT_DATA!$A:$A,$B71,INPUT_DATA!$C:$C,"S"))</f>
        <v/>
      </c>
      <c r="J71" s="727" t="str">
        <f>IF($B71=0,"",SUMIFS(INPUT_DATA!K:K,INPUT_DATA!$A:$A,$B71,INPUT_DATA!$C:$C,"S"))</f>
        <v/>
      </c>
      <c r="K71" s="727" t="str">
        <f>IF($B71=0,"",SUMIFS(INPUT_DATA!L:L,INPUT_DATA!$A:$A,$B71,INPUT_DATA!$C:$C,"S"))</f>
        <v/>
      </c>
      <c r="L71" s="727" t="str">
        <f>IF($B71=0,"",SUMIFS(INPUT_DATA!M:M,INPUT_DATA!$A:$A,$B71,INPUT_DATA!$C:$C,"S"))</f>
        <v/>
      </c>
      <c r="M71" s="727" t="str">
        <f>IF($B71=0,"",SUMIFS(INPUT_DATA!N:N,INPUT_DATA!$A:$A,$B71,INPUT_DATA!$C:$C,"S"))</f>
        <v/>
      </c>
      <c r="N71" s="727" t="str">
        <f>IF($B71=0,"",SUMIFS(INPUT_DATA!O:O,INPUT_DATA!$A:$A,$B71,INPUT_DATA!$C:$C,"S"))</f>
        <v/>
      </c>
      <c r="O71" s="728" t="str">
        <f t="shared" si="38"/>
        <v/>
      </c>
      <c r="P71" s="729" t="str">
        <f>IF($B71=0,"",SUMIFS(INPUT_DATA!P:P,INPUT_DATA!$A:$A,$B71,INPUT_DATA!$C:$C,"S"))</f>
        <v/>
      </c>
      <c r="Q71" s="729" t="str">
        <f t="shared" si="39"/>
        <v/>
      </c>
      <c r="R71" s="735" t="str">
        <f>IF($B71=0,"",SUMIFS(INPUT_DATA!Q:Q,INPUT_DATA!$A:$A,$B71,INPUT_DATA!$C:$C,"S"))</f>
        <v/>
      </c>
      <c r="S71" s="735" t="str">
        <f>IF($B71=0,"",SUMIFS(INPUT_DATA!R:R,INPUT_DATA!$A:$A,$B71,INPUT_DATA!$C:$C,"S"))</f>
        <v/>
      </c>
      <c r="T71" s="735" t="str">
        <f>IF($B71=0,"",SUMIFS(INPUT_DATA!S:S,INPUT_DATA!$A:$A,$B71,INPUT_DATA!$C:$C,"S"))</f>
        <v/>
      </c>
      <c r="U71" s="312" t="str">
        <f>IF($B71=0,"",SUMIFS(INPUT_DATA!T:T,INPUT_DATA!$A:$A,$B71,INPUT_DATA!$C:$C,"S"))</f>
        <v/>
      </c>
      <c r="V71" s="312" t="str">
        <f>IF($B71=0,"",SUMIFS(INPUT_DATA!U:U,INPUT_DATA!$A:$A,$B71,INPUT_DATA!$C:$C,"S"))</f>
        <v/>
      </c>
      <c r="W71" s="312" t="str">
        <f>IF($B71=0,"",SUMIFS(INPUT_DATA!V:V,INPUT_DATA!$A:$A,$B71,INPUT_DATA!$C:$C,"S"))</f>
        <v/>
      </c>
      <c r="X71" s="312" t="str">
        <f>IF($B71=0,"",SUMIFS(INPUT_DATA!W:W,INPUT_DATA!$A:$A,$B71,INPUT_DATA!$C:$C,"S"))</f>
        <v/>
      </c>
      <c r="Y71" s="312" t="str">
        <f>IF($B71=0,"",SUMIFS(INPUT_DATA!X:X,INPUT_DATA!$A:$A,$B71,INPUT_DATA!$C:$C,"S"))</f>
        <v/>
      </c>
      <c r="Z71" s="312" t="str">
        <f>IF($B71=0,"",SUMIFS(INPUT_DATA!Y:Y,INPUT_DATA!$A:$A,$B71,INPUT_DATA!$C:$C,"S"))</f>
        <v/>
      </c>
      <c r="AA71" s="312" t="str">
        <f>IF($B71=0,"",SUMIFS(INPUT_DATA!Z:Z,INPUT_DATA!$A:$A,$B71,INPUT_DATA!$C:$C,"S"))</f>
        <v/>
      </c>
      <c r="AB71" s="312" t="str">
        <f>IF($B71=0,"",SUMIFS(INPUT_DATA!AA:AA,INPUT_DATA!$A:$A,$B71,INPUT_DATA!$C:$C,"S"))</f>
        <v/>
      </c>
      <c r="AC71" s="312" t="str">
        <f>IF($B71=0,"",SUMIFS(INPUT_DATA!AB:AB,INPUT_DATA!$A:$A,$B71,INPUT_DATA!$C:$C,"S"))</f>
        <v/>
      </c>
      <c r="AD71" s="312" t="str">
        <f>IF($B71=0,"",SUMIFS(INPUT_DATA!AC:AC,INPUT_DATA!$A:$A,$B71,INPUT_DATA!$C:$C,"S"))</f>
        <v/>
      </c>
      <c r="AE71" s="312" t="str">
        <f>IF($B71=0,"",SUMIFS(INPUT_DATA!AD:AD,INPUT_DATA!$A:$A,$B71,INPUT_DATA!$C:$C,"S"))</f>
        <v/>
      </c>
      <c r="AF71" s="312" t="str">
        <f>IF($B71=0,"",SUMIFS(INPUT_DATA!AE:AE,INPUT_DATA!$A:$A,$B71,INPUT_DATA!$C:$C,"S"))</f>
        <v/>
      </c>
      <c r="AG71" s="312" t="str">
        <f>IF($B71=0,"",SUMIFS(INPUT_DATA!AF:AF,INPUT_DATA!$A:$A,$B71,INPUT_DATA!$C:$C,"S"))</f>
        <v/>
      </c>
      <c r="AH71" s="312" t="str">
        <f>IF($B71=0,"",SUMIFS(INPUT_DATA!AG:AG,INPUT_DATA!$A:$A,$B71,INPUT_DATA!$C:$C,"S"))</f>
        <v/>
      </c>
      <c r="AI71" s="312" t="str">
        <f>IF($B71=0,"",SUMIFS(INPUT_DATA!AH:AH,INPUT_DATA!$A:$A,$B71,INPUT_DATA!$C:$C,"S"))</f>
        <v/>
      </c>
      <c r="AJ71" s="312" t="str">
        <f>IF($B71=0,"",SUMIFS(INPUT_DATA!AI:AI,INPUT_DATA!$A:$A,$B71,INPUT_DATA!$C:$C,"S"))</f>
        <v/>
      </c>
      <c r="AK71" s="312" t="str">
        <f>IF($B71=0,"",SUMIFS(INPUT_DATA!AJ:AJ,INPUT_DATA!$A:$A,$B71,INPUT_DATA!$C:$C,"S"))</f>
        <v/>
      </c>
      <c r="AL71" s="312" t="str">
        <f>IF($B71=0,"",SUMIFS(INPUT_DATA!AK:AK,INPUT_DATA!$A:$A,$B71,INPUT_DATA!$C:$C,"S"))</f>
        <v/>
      </c>
      <c r="AM71" s="312" t="str">
        <f>IF($B71=0,"",SUMIFS(INPUT_DATA!AL:AL,INPUT_DATA!$A:$A,$B71,INPUT_DATA!$C:$C,"S"))</f>
        <v/>
      </c>
      <c r="AN71" s="312" t="str">
        <f>IF($B71=0,"",SUMIFS(INPUT_DATA!AM:AM,INPUT_DATA!$A:$A,$B71,INPUT_DATA!$C:$C,"S"))</f>
        <v/>
      </c>
      <c r="AO71" s="312" t="str">
        <f>IF($B71=0,"",SUMIFS(INPUT_DATA!AN:AN,INPUT_DATA!$A:$A,$B71,INPUT_DATA!$C:$C,"S"))</f>
        <v/>
      </c>
      <c r="AP71" s="312" t="str">
        <f>IF($B71=0,"",SUMIFS(INPUT_DATA!AO:AO,INPUT_DATA!$A:$A,$B71,INPUT_DATA!$C:$C,"S"))</f>
        <v/>
      </c>
      <c r="AQ71" s="312" t="str">
        <f>IF($B71=0,"",SUMIFS(INPUT_DATA!AP:AP,INPUT_DATA!$A:$A,$B71,INPUT_DATA!$C:$C,"S"))</f>
        <v/>
      </c>
      <c r="AR71" s="312" t="str">
        <f>IF($B71=0,"",SUMIFS(INPUT_DATA!AQ:AQ,INPUT_DATA!$A:$A,$B71,INPUT_DATA!$C:$C,"S"))</f>
        <v/>
      </c>
      <c r="AS71" s="736" t="str">
        <f t="shared" si="29"/>
        <v/>
      </c>
      <c r="AT71" s="737" t="str">
        <f t="shared" si="30"/>
        <v/>
      </c>
      <c r="AU71" s="738" t="str">
        <f t="shared" si="31"/>
        <v/>
      </c>
      <c r="AV71" s="736" t="str">
        <f>IF($B71=0,"",SUMIFS(INPUT_DATA!AR:AR,INPUT_DATA!$A:$A,$B71,INPUT_DATA!$C:$C,"S"))</f>
        <v/>
      </c>
      <c r="AW71" s="737" t="str">
        <f>IF($B71=0,"",SUMIFS(INPUT_DATA!AS:AS,INPUT_DATA!$A:$A,$B71,INPUT_DATA!$C:$C,"S"))</f>
        <v/>
      </c>
      <c r="AX71" s="738" t="str">
        <f>IF($B71=0,"",SUMIFS(INPUT_DATA!AT:AT,INPUT_DATA!$A:$A,$B71,INPUT_DATA!$C:$C,"S"))</f>
        <v/>
      </c>
      <c r="AY71" s="736" t="str">
        <f t="shared" si="15"/>
        <v/>
      </c>
      <c r="AZ71" s="737" t="str">
        <f t="shared" si="16"/>
        <v/>
      </c>
      <c r="BA71" s="738" t="str">
        <f t="shared" si="17"/>
        <v/>
      </c>
      <c r="BB71" s="150"/>
      <c r="BC71" s="725" t="str">
        <f>IF($B71=0,"",SUMIFS(INPUT_DATA!D:D,INPUT_DATA!$A:$A,$B71,INPUT_DATA!$C:$C,"D"))</f>
        <v/>
      </c>
      <c r="BD71" s="311" t="str">
        <f>IF($B71=0,"",SUMIFS(INPUT_DATA!F:F,INPUT_DATA!$A:$A,$B71,INPUT_DATA!$C:$C,"D"))</f>
        <v/>
      </c>
      <c r="BE71" s="311" t="str">
        <f>IF($B71=0,"",SUMIFS(INPUT_DATA!G:G,INPUT_DATA!$A:$A,$B71,INPUT_DATA!$C:$C,"D"))</f>
        <v/>
      </c>
      <c r="BF71" s="311" t="str">
        <f>IF($B71=0,"",SUMIFS(INPUT_DATA!H:H,INPUT_DATA!$A:$A,$B71,INPUT_DATA!$C:$C,"D"))</f>
        <v/>
      </c>
      <c r="BG71" s="311" t="str">
        <f>IF($B71=0,"",SUMIFS(INPUT_DATA!I:I,INPUT_DATA!$A:$A,$B71,INPUT_DATA!$C:$C,"D"))</f>
        <v/>
      </c>
      <c r="BH71" s="311" t="str">
        <f>IF($B71=0,"",SUMIFS(INPUT_DATA!J:J,INPUT_DATA!$A:$A,$B71,INPUT_DATA!$C:$C,"D"))</f>
        <v/>
      </c>
      <c r="BI71" s="311" t="str">
        <f>IF($B71=0,"",SUMIFS(INPUT_DATA!K:K,INPUT_DATA!$A:$A,$B71,INPUT_DATA!$C:$C,"D"))</f>
        <v/>
      </c>
      <c r="BJ71" s="311" t="str">
        <f>IF($B71=0,"",SUMIFS(INPUT_DATA!L:L,INPUT_DATA!$A:$A,$B71,INPUT_DATA!$C:$C,"D"))</f>
        <v/>
      </c>
      <c r="BK71" s="311" t="str">
        <f>IF($B71=0,"",SUMIFS(INPUT_DATA!M:M,INPUT_DATA!$A:$A,$B71,INPUT_DATA!$C:$C,"D"))</f>
        <v/>
      </c>
      <c r="BL71" s="311" t="str">
        <f>IF($B71=0,"",SUMIFS(INPUT_DATA!N:N,INPUT_DATA!$A:$A,$B71,INPUT_DATA!$C:$C,"D"))</f>
        <v/>
      </c>
      <c r="BM71" s="311" t="str">
        <f>IF($B71=0,"",SUMIFS(INPUT_DATA!O:O,INPUT_DATA!$A:$A,$B71,INPUT_DATA!$C:$C,"D"))</f>
        <v/>
      </c>
      <c r="BN71" s="741" t="str">
        <f t="shared" si="18"/>
        <v/>
      </c>
      <c r="BO71" s="741" t="str">
        <f>IF($B71=0,"",SUMIFS(INPUT_DATA!O:O,INPUT_DATA!$A:$A,$B71,INPUT_DATA!$C:$C,"D"))</f>
        <v/>
      </c>
      <c r="BP71" s="741" t="str">
        <f t="shared" si="19"/>
        <v/>
      </c>
      <c r="BQ71" s="725" t="str">
        <f>IF($B71=0,"",SUMIFS(INPUT_DATA!Q:Q,INPUT_DATA!$A:$A,$B71,INPUT_DATA!$C:$C,"D"))</f>
        <v/>
      </c>
      <c r="BR71" s="747" t="str">
        <f>IF($B71=0,"",SUMIFS(INPUT_DATA!R:R,INPUT_DATA!$A:$A,$B71,INPUT_DATA!$C:$C,"D"))</f>
        <v/>
      </c>
      <c r="BS71" s="747" t="str">
        <f>IF($B71=0,"",SUMIFS(INPUT_DATA!S:S,INPUT_DATA!$A:$A,$B71,INPUT_DATA!$C:$C,"D"))</f>
        <v/>
      </c>
      <c r="BT71" s="311" t="str">
        <f>IF($B71=0,"",SUMIFS(INPUT_DATA!T:T,INPUT_DATA!$A:$A,$B71,INPUT_DATA!$C:$C,"D"))</f>
        <v/>
      </c>
      <c r="BU71" s="311" t="str">
        <f>IF($B71=0,"",SUMIFS(INPUT_DATA!U:U,INPUT_DATA!$A:$A,$B71,INPUT_DATA!$C:$C,"D"))</f>
        <v/>
      </c>
      <c r="BV71" s="311" t="str">
        <f>IF($B71=0,"",SUMIFS(INPUT_DATA!V:V,INPUT_DATA!$A:$A,$B71,INPUT_DATA!$C:$C,"D"))</f>
        <v/>
      </c>
      <c r="BW71" s="311" t="str">
        <f>IF($B71=0,"",SUMIFS(INPUT_DATA!W:W,INPUT_DATA!$A:$A,$B71,INPUT_DATA!$C:$C,"D"))</f>
        <v/>
      </c>
      <c r="BX71" s="311" t="str">
        <f>IF($B71=0,"",SUMIFS(INPUT_DATA!X:X,INPUT_DATA!$A:$A,$B71,INPUT_DATA!$C:$C,"D"))</f>
        <v/>
      </c>
      <c r="BY71" s="311" t="str">
        <f>IF($B71=0,"",SUMIFS(INPUT_DATA!Y:Y,INPUT_DATA!$A:$A,$B71,INPUT_DATA!$C:$C,"D"))</f>
        <v/>
      </c>
      <c r="BZ71" s="352" t="str">
        <f>IF($B71=0,"",SUMIFS(INPUT_DATA!Z:Z,INPUT_DATA!$A:$A,$B71,INPUT_DATA!$C:$C,"D"))</f>
        <v/>
      </c>
      <c r="CA71" s="352" t="str">
        <f>IF($B71=0,"",SUMIFS(INPUT_DATA!AA:AA,INPUT_DATA!$A:$A,$B71,INPUT_DATA!$C:$C,"D"))</f>
        <v/>
      </c>
      <c r="CB71" s="352" t="str">
        <f>IF($B71=0,"",SUMIFS(INPUT_DATA!AB:AB,INPUT_DATA!$A:$A,$B71,INPUT_DATA!$C:$C,"D"))</f>
        <v/>
      </c>
      <c r="CC71" s="311" t="str">
        <f>IF($B71=0,"",SUMIFS(INPUT_DATA!AC:AC,INPUT_DATA!$A:$A,$B71,INPUT_DATA!$C:$C,"D"))</f>
        <v/>
      </c>
      <c r="CD71" s="311" t="str">
        <f>IF($B71=0,"",SUMIFS(INPUT_DATA!AD:AD,INPUT_DATA!$A:$A,$B71,INPUT_DATA!$C:$C,"D"))</f>
        <v/>
      </c>
      <c r="CE71" s="311" t="str">
        <f>IF($B71=0,"",SUMIFS(INPUT_DATA!AE:AE,INPUT_DATA!$A:$A,$B71,INPUT_DATA!$C:$C,"D"))</f>
        <v/>
      </c>
      <c r="CF71" s="352" t="str">
        <f>IF($B71=0,"",SUMIFS(INPUT_DATA!AF:AF,INPUT_DATA!$A:$A,$B71,INPUT_DATA!$C:$C,"D"))</f>
        <v/>
      </c>
      <c r="CG71" s="352" t="str">
        <f>IF($B71=0,"",SUMIFS(INPUT_DATA!AG:AG,INPUT_DATA!$A:$A,$B71,INPUT_DATA!$C:$C,"D"))</f>
        <v/>
      </c>
      <c r="CH71" s="352" t="str">
        <f>IF($B71=0,"",SUMIFS(INPUT_DATA!AH:AH,INPUT_DATA!$A:$A,$B71,INPUT_DATA!$C:$C,"D"))</f>
        <v/>
      </c>
      <c r="CI71" s="153" t="str">
        <f>IF($B71=0,"",SUMIFS(INPUT_DATA!AI:AI,INPUT_DATA!$A:$A,$B71,INPUT_DATA!$C:$C,"D"))</f>
        <v/>
      </c>
      <c r="CJ71" s="153" t="str">
        <f>IF($B71=0,"",SUMIFS(INPUT_DATA!AJ:AJ,INPUT_DATA!$A:$A,$B71,INPUT_DATA!$C:$C,"D"))</f>
        <v/>
      </c>
      <c r="CK71" s="153" t="str">
        <f>IF($B71=0,"",SUMIFS(INPUT_DATA!AK:AK,INPUT_DATA!$A:$A,$B71,INPUT_DATA!$C:$C,"D"))</f>
        <v/>
      </c>
      <c r="CL71" s="153" t="str">
        <f>IF($B71=0,"",SUMIFS(INPUT_DATA!AL:AL,INPUT_DATA!$A:$A,$B71,INPUT_DATA!$C:$C,"D"))</f>
        <v/>
      </c>
      <c r="CM71" s="153" t="str">
        <f>IF($B71=0,"",SUMIFS(INPUT_DATA!AM:AM,INPUT_DATA!$A:$A,$B71,INPUT_DATA!$C:$C,"D"))</f>
        <v/>
      </c>
      <c r="CN71" s="153" t="str">
        <f>IF($B71=0,"",SUMIFS(INPUT_DATA!AN:AN,INPUT_DATA!$A:$A,$B71,INPUT_DATA!$C:$C,"D"))</f>
        <v/>
      </c>
      <c r="CO71" s="153" t="str">
        <f>IF($B71=0,"",SUMIFS(INPUT_DATA!AO:AO,INPUT_DATA!$A:$A,$B71,INPUT_DATA!$C:$C,"D"))</f>
        <v/>
      </c>
      <c r="CP71" s="153" t="str">
        <f>IF($B71=0,"",SUMIFS(INPUT_DATA!AP:AP,INPUT_DATA!$A:$A,$B71,INPUT_DATA!$C:$C,"D"))</f>
        <v/>
      </c>
      <c r="CQ71" s="153" t="str">
        <f>IF($B71=0,"",SUMIFS(INPUT_DATA!AQ:AQ,INPUT_DATA!$A:$A,$B71,INPUT_DATA!$C:$C,"D"))</f>
        <v/>
      </c>
      <c r="CR71" s="737" t="str">
        <f t="shared" si="32"/>
        <v/>
      </c>
      <c r="CS71" s="737" t="str">
        <f t="shared" si="33"/>
        <v/>
      </c>
      <c r="CT71" s="737" t="str">
        <f t="shared" si="34"/>
        <v/>
      </c>
      <c r="CU71" s="726" t="str">
        <f>IF($B71=0,"",SUMIFS(INPUT_DATA!AR:AR,INPUT_DATA!$A:$A,$B71,INPUT_DATA!$C:$C,"D"))</f>
        <v/>
      </c>
      <c r="CV71" s="726" t="str">
        <f>IF($B71=0,"",SUMIFS(INPUT_DATA!AS:AS,INPUT_DATA!$A:$A,$B71,INPUT_DATA!$C:$C,"D"))</f>
        <v/>
      </c>
      <c r="CW71" s="726" t="str">
        <f>IF($B71=0,"",SUMIFS(INPUT_DATA!AT:AT,INPUT_DATA!$A:$A,$B71,INPUT_DATA!$C:$C,"D"))</f>
        <v/>
      </c>
      <c r="CX71" s="726" t="str">
        <f t="shared" si="35"/>
        <v/>
      </c>
      <c r="CY71" s="737" t="str">
        <f t="shared" si="36"/>
        <v/>
      </c>
      <c r="CZ71" s="748" t="str">
        <f t="shared" si="37"/>
        <v/>
      </c>
      <c r="DA71" s="150"/>
    </row>
    <row r="72" spans="1:105" x14ac:dyDescent="0.2">
      <c r="A72" s="172">
        <f t="shared" si="40"/>
        <v>-25</v>
      </c>
      <c r="B72" s="720">
        <f>INPUT_DATA!BQ59</f>
        <v>0</v>
      </c>
      <c r="C72" s="725" t="str">
        <f>IF($B72=0,"",SUMIFS(INPUT_DATA!D:D,INPUT_DATA!$A:$A,$B72,INPUT_DATA!$C:$C,"S"))</f>
        <v/>
      </c>
      <c r="D72" s="726" t="str">
        <f>IF($B72=0,"",SUMIFS(INPUT_DATA!E:E,INPUT_DATA!$A:$A,$B72,INPUT_DATA!$C:$C,"S"))</f>
        <v/>
      </c>
      <c r="E72" s="727" t="str">
        <f>IF($B72=0,"",SUMIFS(INPUT_DATA!F:F,INPUT_DATA!$A:$A,$B72,INPUT_DATA!$C:$C,"S"))</f>
        <v/>
      </c>
      <c r="F72" s="727" t="str">
        <f>IF($B72=0,"",SUMIFS(INPUT_DATA!G:G,INPUT_DATA!$A:$A,$B72,INPUT_DATA!$C:$C,"S"))</f>
        <v/>
      </c>
      <c r="G72" s="727" t="str">
        <f>IF($B72=0,"",SUMIFS(INPUT_DATA!H:H,INPUT_DATA!$A:$A,$B72,INPUT_DATA!$C:$C,"S"))</f>
        <v/>
      </c>
      <c r="H72" s="727" t="str">
        <f>IF($B72=0,"",SUMIFS(INPUT_DATA!I:I,INPUT_DATA!$A:$A,$B72,INPUT_DATA!$C:$C,"S"))</f>
        <v/>
      </c>
      <c r="I72" s="727" t="str">
        <f>IF($B72=0,"",SUMIFS(INPUT_DATA!J:J,INPUT_DATA!$A:$A,$B72,INPUT_DATA!$C:$C,"S"))</f>
        <v/>
      </c>
      <c r="J72" s="727" t="str">
        <f>IF($B72=0,"",SUMIFS(INPUT_DATA!K:K,INPUT_DATA!$A:$A,$B72,INPUT_DATA!$C:$C,"S"))</f>
        <v/>
      </c>
      <c r="K72" s="727" t="str">
        <f>IF($B72=0,"",SUMIFS(INPUT_DATA!L:L,INPUT_DATA!$A:$A,$B72,INPUT_DATA!$C:$C,"S"))</f>
        <v/>
      </c>
      <c r="L72" s="727" t="str">
        <f>IF($B72=0,"",SUMIFS(INPUT_DATA!M:M,INPUT_DATA!$A:$A,$B72,INPUT_DATA!$C:$C,"S"))</f>
        <v/>
      </c>
      <c r="M72" s="727" t="str">
        <f>IF($B72=0,"",SUMIFS(INPUT_DATA!N:N,INPUT_DATA!$A:$A,$B72,INPUT_DATA!$C:$C,"S"))</f>
        <v/>
      </c>
      <c r="N72" s="727" t="str">
        <f>IF($B72=0,"",SUMIFS(INPUT_DATA!O:O,INPUT_DATA!$A:$A,$B72,INPUT_DATA!$C:$C,"S"))</f>
        <v/>
      </c>
      <c r="O72" s="728" t="str">
        <f t="shared" si="38"/>
        <v/>
      </c>
      <c r="P72" s="729" t="str">
        <f>IF($B72=0,"",SUMIFS(INPUT_DATA!P:P,INPUT_DATA!$A:$A,$B72,INPUT_DATA!$C:$C,"S"))</f>
        <v/>
      </c>
      <c r="Q72" s="729" t="str">
        <f t="shared" si="39"/>
        <v/>
      </c>
      <c r="R72" s="735" t="str">
        <f>IF($B72=0,"",SUMIFS(INPUT_DATA!Q:Q,INPUT_DATA!$A:$A,$B72,INPUT_DATA!$C:$C,"S"))</f>
        <v/>
      </c>
      <c r="S72" s="735" t="str">
        <f>IF($B72=0,"",SUMIFS(INPUT_DATA!R:R,INPUT_DATA!$A:$A,$B72,INPUT_DATA!$C:$C,"S"))</f>
        <v/>
      </c>
      <c r="T72" s="735" t="str">
        <f>IF($B72=0,"",SUMIFS(INPUT_DATA!S:S,INPUT_DATA!$A:$A,$B72,INPUT_DATA!$C:$C,"S"))</f>
        <v/>
      </c>
      <c r="U72" s="312" t="str">
        <f>IF($B72=0,"",SUMIFS(INPUT_DATA!T:T,INPUT_DATA!$A:$A,$B72,INPUT_DATA!$C:$C,"S"))</f>
        <v/>
      </c>
      <c r="V72" s="312" t="str">
        <f>IF($B72=0,"",SUMIFS(INPUT_DATA!U:U,INPUT_DATA!$A:$A,$B72,INPUT_DATA!$C:$C,"S"))</f>
        <v/>
      </c>
      <c r="W72" s="312" t="str">
        <f>IF($B72=0,"",SUMIFS(INPUT_DATA!V:V,INPUT_DATA!$A:$A,$B72,INPUT_DATA!$C:$C,"S"))</f>
        <v/>
      </c>
      <c r="X72" s="312" t="str">
        <f>IF($B72=0,"",SUMIFS(INPUT_DATA!W:W,INPUT_DATA!$A:$A,$B72,INPUT_DATA!$C:$C,"S"))</f>
        <v/>
      </c>
      <c r="Y72" s="312" t="str">
        <f>IF($B72=0,"",SUMIFS(INPUT_DATA!X:X,INPUT_DATA!$A:$A,$B72,INPUT_DATA!$C:$C,"S"))</f>
        <v/>
      </c>
      <c r="Z72" s="312" t="str">
        <f>IF($B72=0,"",SUMIFS(INPUT_DATA!Y:Y,INPUT_DATA!$A:$A,$B72,INPUT_DATA!$C:$C,"S"))</f>
        <v/>
      </c>
      <c r="AA72" s="312" t="str">
        <f>IF($B72=0,"",SUMIFS(INPUT_DATA!Z:Z,INPUT_DATA!$A:$A,$B72,INPUT_DATA!$C:$C,"S"))</f>
        <v/>
      </c>
      <c r="AB72" s="312" t="str">
        <f>IF($B72=0,"",SUMIFS(INPUT_DATA!AA:AA,INPUT_DATA!$A:$A,$B72,INPUT_DATA!$C:$C,"S"))</f>
        <v/>
      </c>
      <c r="AC72" s="312" t="str">
        <f>IF($B72=0,"",SUMIFS(INPUT_DATA!AB:AB,INPUT_DATA!$A:$A,$B72,INPUT_DATA!$C:$C,"S"))</f>
        <v/>
      </c>
      <c r="AD72" s="312" t="str">
        <f>IF($B72=0,"",SUMIFS(INPUT_DATA!AC:AC,INPUT_DATA!$A:$A,$B72,INPUT_DATA!$C:$C,"S"))</f>
        <v/>
      </c>
      <c r="AE72" s="312" t="str">
        <f>IF($B72=0,"",SUMIFS(INPUT_DATA!AD:AD,INPUT_DATA!$A:$A,$B72,INPUT_DATA!$C:$C,"S"))</f>
        <v/>
      </c>
      <c r="AF72" s="312" t="str">
        <f>IF($B72=0,"",SUMIFS(INPUT_DATA!AE:AE,INPUT_DATA!$A:$A,$B72,INPUT_DATA!$C:$C,"S"))</f>
        <v/>
      </c>
      <c r="AG72" s="312" t="str">
        <f>IF($B72=0,"",SUMIFS(INPUT_DATA!AF:AF,INPUT_DATA!$A:$A,$B72,INPUT_DATA!$C:$C,"S"))</f>
        <v/>
      </c>
      <c r="AH72" s="312" t="str">
        <f>IF($B72=0,"",SUMIFS(INPUT_DATA!AG:AG,INPUT_DATA!$A:$A,$B72,INPUT_DATA!$C:$C,"S"))</f>
        <v/>
      </c>
      <c r="AI72" s="312" t="str">
        <f>IF($B72=0,"",SUMIFS(INPUT_DATA!AH:AH,INPUT_DATA!$A:$A,$B72,INPUT_DATA!$C:$C,"S"))</f>
        <v/>
      </c>
      <c r="AJ72" s="312" t="str">
        <f>IF($B72=0,"",SUMIFS(INPUT_DATA!AI:AI,INPUT_DATA!$A:$A,$B72,INPUT_DATA!$C:$C,"S"))</f>
        <v/>
      </c>
      <c r="AK72" s="312" t="str">
        <f>IF($B72=0,"",SUMIFS(INPUT_DATA!AJ:AJ,INPUT_DATA!$A:$A,$B72,INPUT_DATA!$C:$C,"S"))</f>
        <v/>
      </c>
      <c r="AL72" s="312" t="str">
        <f>IF($B72=0,"",SUMIFS(INPUT_DATA!AK:AK,INPUT_DATA!$A:$A,$B72,INPUT_DATA!$C:$C,"S"))</f>
        <v/>
      </c>
      <c r="AM72" s="312" t="str">
        <f>IF($B72=0,"",SUMIFS(INPUT_DATA!AL:AL,INPUT_DATA!$A:$A,$B72,INPUT_DATA!$C:$C,"S"))</f>
        <v/>
      </c>
      <c r="AN72" s="312" t="str">
        <f>IF($B72=0,"",SUMIFS(INPUT_DATA!AM:AM,INPUT_DATA!$A:$A,$B72,INPUT_DATA!$C:$C,"S"))</f>
        <v/>
      </c>
      <c r="AO72" s="312" t="str">
        <f>IF($B72=0,"",SUMIFS(INPUT_DATA!AN:AN,INPUT_DATA!$A:$A,$B72,INPUT_DATA!$C:$C,"S"))</f>
        <v/>
      </c>
      <c r="AP72" s="312" t="str">
        <f>IF($B72=0,"",SUMIFS(INPUT_DATA!AO:AO,INPUT_DATA!$A:$A,$B72,INPUT_DATA!$C:$C,"S"))</f>
        <v/>
      </c>
      <c r="AQ72" s="312" t="str">
        <f>IF($B72=0,"",SUMIFS(INPUT_DATA!AP:AP,INPUT_DATA!$A:$A,$B72,INPUT_DATA!$C:$C,"S"))</f>
        <v/>
      </c>
      <c r="AR72" s="312" t="str">
        <f>IF($B72=0,"",SUMIFS(INPUT_DATA!AQ:AQ,INPUT_DATA!$A:$A,$B72,INPUT_DATA!$C:$C,"S"))</f>
        <v/>
      </c>
      <c r="AS72" s="736" t="str">
        <f t="shared" si="29"/>
        <v/>
      </c>
      <c r="AT72" s="737" t="str">
        <f t="shared" si="30"/>
        <v/>
      </c>
      <c r="AU72" s="738" t="str">
        <f t="shared" si="31"/>
        <v/>
      </c>
      <c r="AV72" s="736" t="str">
        <f>IF($B72=0,"",SUMIFS(INPUT_DATA!AR:AR,INPUT_DATA!$A:$A,$B72,INPUT_DATA!$C:$C,"S"))</f>
        <v/>
      </c>
      <c r="AW72" s="737" t="str">
        <f>IF($B72=0,"",SUMIFS(INPUT_DATA!AS:AS,INPUT_DATA!$A:$A,$B72,INPUT_DATA!$C:$C,"S"))</f>
        <v/>
      </c>
      <c r="AX72" s="738" t="str">
        <f>IF($B72=0,"",SUMIFS(INPUT_DATA!AT:AT,INPUT_DATA!$A:$A,$B72,INPUT_DATA!$C:$C,"S"))</f>
        <v/>
      </c>
      <c r="AY72" s="736" t="str">
        <f t="shared" si="15"/>
        <v/>
      </c>
      <c r="AZ72" s="737" t="str">
        <f t="shared" si="16"/>
        <v/>
      </c>
      <c r="BA72" s="738" t="str">
        <f t="shared" si="17"/>
        <v/>
      </c>
      <c r="BB72" s="150"/>
      <c r="BC72" s="725" t="str">
        <f>IF($B72=0,"",SUMIFS(INPUT_DATA!D:D,INPUT_DATA!$A:$A,$B72,INPUT_DATA!$C:$C,"D"))</f>
        <v/>
      </c>
      <c r="BD72" s="311" t="str">
        <f>IF($B72=0,"",SUMIFS(INPUT_DATA!F:F,INPUT_DATA!$A:$A,$B72,INPUT_DATA!$C:$C,"D"))</f>
        <v/>
      </c>
      <c r="BE72" s="311" t="str">
        <f>IF($B72=0,"",SUMIFS(INPUT_DATA!G:G,INPUT_DATA!$A:$A,$B72,INPUT_DATA!$C:$C,"D"))</f>
        <v/>
      </c>
      <c r="BF72" s="311" t="str">
        <f>IF($B72=0,"",SUMIFS(INPUT_DATA!H:H,INPUT_DATA!$A:$A,$B72,INPUT_DATA!$C:$C,"D"))</f>
        <v/>
      </c>
      <c r="BG72" s="311" t="str">
        <f>IF($B72=0,"",SUMIFS(INPUT_DATA!I:I,INPUT_DATA!$A:$A,$B72,INPUT_DATA!$C:$C,"D"))</f>
        <v/>
      </c>
      <c r="BH72" s="311" t="str">
        <f>IF($B72=0,"",SUMIFS(INPUT_DATA!J:J,INPUT_DATA!$A:$A,$B72,INPUT_DATA!$C:$C,"D"))</f>
        <v/>
      </c>
      <c r="BI72" s="311" t="str">
        <f>IF($B72=0,"",SUMIFS(INPUT_DATA!K:K,INPUT_DATA!$A:$A,$B72,INPUT_DATA!$C:$C,"D"))</f>
        <v/>
      </c>
      <c r="BJ72" s="311" t="str">
        <f>IF($B72=0,"",SUMIFS(INPUT_DATA!L:L,INPUT_DATA!$A:$A,$B72,INPUT_DATA!$C:$C,"D"))</f>
        <v/>
      </c>
      <c r="BK72" s="311" t="str">
        <f>IF($B72=0,"",SUMIFS(INPUT_DATA!M:M,INPUT_DATA!$A:$A,$B72,INPUT_DATA!$C:$C,"D"))</f>
        <v/>
      </c>
      <c r="BL72" s="311" t="str">
        <f>IF($B72=0,"",SUMIFS(INPUT_DATA!N:N,INPUT_DATA!$A:$A,$B72,INPUT_DATA!$C:$C,"D"))</f>
        <v/>
      </c>
      <c r="BM72" s="311" t="str">
        <f>IF($B72=0,"",SUMIFS(INPUT_DATA!O:O,INPUT_DATA!$A:$A,$B72,INPUT_DATA!$C:$C,"D"))</f>
        <v/>
      </c>
      <c r="BN72" s="741" t="str">
        <f t="shared" si="18"/>
        <v/>
      </c>
      <c r="BO72" s="741" t="str">
        <f>IF($B72=0,"",SUMIFS(INPUT_DATA!O:O,INPUT_DATA!$A:$A,$B72,INPUT_DATA!$C:$C,"D"))</f>
        <v/>
      </c>
      <c r="BP72" s="741" t="str">
        <f t="shared" si="19"/>
        <v/>
      </c>
      <c r="BQ72" s="725" t="str">
        <f>IF($B72=0,"",SUMIFS(INPUT_DATA!Q:Q,INPUT_DATA!$A:$A,$B72,INPUT_DATA!$C:$C,"D"))</f>
        <v/>
      </c>
      <c r="BR72" s="747" t="str">
        <f>IF($B72=0,"",SUMIFS(INPUT_DATA!R:R,INPUT_DATA!$A:$A,$B72,INPUT_DATA!$C:$C,"D"))</f>
        <v/>
      </c>
      <c r="BS72" s="747" t="str">
        <f>IF($B72=0,"",SUMIFS(INPUT_DATA!S:S,INPUT_DATA!$A:$A,$B72,INPUT_DATA!$C:$C,"D"))</f>
        <v/>
      </c>
      <c r="BT72" s="311" t="str">
        <f>IF($B72=0,"",SUMIFS(INPUT_DATA!T:T,INPUT_DATA!$A:$A,$B72,INPUT_DATA!$C:$C,"D"))</f>
        <v/>
      </c>
      <c r="BU72" s="311" t="str">
        <f>IF($B72=0,"",SUMIFS(INPUT_DATA!U:U,INPUT_DATA!$A:$A,$B72,INPUT_DATA!$C:$C,"D"))</f>
        <v/>
      </c>
      <c r="BV72" s="311" t="str">
        <f>IF($B72=0,"",SUMIFS(INPUT_DATA!V:V,INPUT_DATA!$A:$A,$B72,INPUT_DATA!$C:$C,"D"))</f>
        <v/>
      </c>
      <c r="BW72" s="311" t="str">
        <f>IF($B72=0,"",SUMIFS(INPUT_DATA!W:W,INPUT_DATA!$A:$A,$B72,INPUT_DATA!$C:$C,"D"))</f>
        <v/>
      </c>
      <c r="BX72" s="311" t="str">
        <f>IF($B72=0,"",SUMIFS(INPUT_DATA!X:X,INPUT_DATA!$A:$A,$B72,INPUT_DATA!$C:$C,"D"))</f>
        <v/>
      </c>
      <c r="BY72" s="311" t="str">
        <f>IF($B72=0,"",SUMIFS(INPUT_DATA!Y:Y,INPUT_DATA!$A:$A,$B72,INPUT_DATA!$C:$C,"D"))</f>
        <v/>
      </c>
      <c r="BZ72" s="352" t="str">
        <f>IF($B72=0,"",SUMIFS(INPUT_DATA!Z:Z,INPUT_DATA!$A:$A,$B72,INPUT_DATA!$C:$C,"D"))</f>
        <v/>
      </c>
      <c r="CA72" s="352" t="str">
        <f>IF($B72=0,"",SUMIFS(INPUT_DATA!AA:AA,INPUT_DATA!$A:$A,$B72,INPUT_DATA!$C:$C,"D"))</f>
        <v/>
      </c>
      <c r="CB72" s="352" t="str">
        <f>IF($B72=0,"",SUMIFS(INPUT_DATA!AB:AB,INPUT_DATA!$A:$A,$B72,INPUT_DATA!$C:$C,"D"))</f>
        <v/>
      </c>
      <c r="CC72" s="311" t="str">
        <f>IF($B72=0,"",SUMIFS(INPUT_DATA!AC:AC,INPUT_DATA!$A:$A,$B72,INPUT_DATA!$C:$C,"D"))</f>
        <v/>
      </c>
      <c r="CD72" s="311" t="str">
        <f>IF($B72=0,"",SUMIFS(INPUT_DATA!AD:AD,INPUT_DATA!$A:$A,$B72,INPUT_DATA!$C:$C,"D"))</f>
        <v/>
      </c>
      <c r="CE72" s="311" t="str">
        <f>IF($B72=0,"",SUMIFS(INPUT_DATA!AE:AE,INPUT_DATA!$A:$A,$B72,INPUT_DATA!$C:$C,"D"))</f>
        <v/>
      </c>
      <c r="CF72" s="352" t="str">
        <f>IF($B72=0,"",SUMIFS(INPUT_DATA!AF:AF,INPUT_DATA!$A:$A,$B72,INPUT_DATA!$C:$C,"D"))</f>
        <v/>
      </c>
      <c r="CG72" s="352" t="str">
        <f>IF($B72=0,"",SUMIFS(INPUT_DATA!AG:AG,INPUT_DATA!$A:$A,$B72,INPUT_DATA!$C:$C,"D"))</f>
        <v/>
      </c>
      <c r="CH72" s="352" t="str">
        <f>IF($B72=0,"",SUMIFS(INPUT_DATA!AH:AH,INPUT_DATA!$A:$A,$B72,INPUT_DATA!$C:$C,"D"))</f>
        <v/>
      </c>
      <c r="CI72" s="153" t="str">
        <f>IF($B72=0,"",SUMIFS(INPUT_DATA!AI:AI,INPUT_DATA!$A:$A,$B72,INPUT_DATA!$C:$C,"D"))</f>
        <v/>
      </c>
      <c r="CJ72" s="153" t="str">
        <f>IF($B72=0,"",SUMIFS(INPUT_DATA!AJ:AJ,INPUT_DATA!$A:$A,$B72,INPUT_DATA!$C:$C,"D"))</f>
        <v/>
      </c>
      <c r="CK72" s="153" t="str">
        <f>IF($B72=0,"",SUMIFS(INPUT_DATA!AK:AK,INPUT_DATA!$A:$A,$B72,INPUT_DATA!$C:$C,"D"))</f>
        <v/>
      </c>
      <c r="CL72" s="153" t="str">
        <f>IF($B72=0,"",SUMIFS(INPUT_DATA!AL:AL,INPUT_DATA!$A:$A,$B72,INPUT_DATA!$C:$C,"D"))</f>
        <v/>
      </c>
      <c r="CM72" s="153" t="str">
        <f>IF($B72=0,"",SUMIFS(INPUT_DATA!AM:AM,INPUT_DATA!$A:$A,$B72,INPUT_DATA!$C:$C,"D"))</f>
        <v/>
      </c>
      <c r="CN72" s="153" t="str">
        <f>IF($B72=0,"",SUMIFS(INPUT_DATA!AN:AN,INPUT_DATA!$A:$A,$B72,INPUT_DATA!$C:$C,"D"))</f>
        <v/>
      </c>
      <c r="CO72" s="153" t="str">
        <f>IF($B72=0,"",SUMIFS(INPUT_DATA!AO:AO,INPUT_DATA!$A:$A,$B72,INPUT_DATA!$C:$C,"D"))</f>
        <v/>
      </c>
      <c r="CP72" s="153" t="str">
        <f>IF($B72=0,"",SUMIFS(INPUT_DATA!AP:AP,INPUT_DATA!$A:$A,$B72,INPUT_DATA!$C:$C,"D"))</f>
        <v/>
      </c>
      <c r="CQ72" s="153" t="str">
        <f>IF($B72=0,"",SUMIFS(INPUT_DATA!AQ:AQ,INPUT_DATA!$A:$A,$B72,INPUT_DATA!$C:$C,"D"))</f>
        <v/>
      </c>
      <c r="CR72" s="737" t="str">
        <f t="shared" si="32"/>
        <v/>
      </c>
      <c r="CS72" s="737" t="str">
        <f t="shared" si="33"/>
        <v/>
      </c>
      <c r="CT72" s="737" t="str">
        <f t="shared" si="34"/>
        <v/>
      </c>
      <c r="CU72" s="726" t="str">
        <f>IF($B72=0,"",SUMIFS(INPUT_DATA!AR:AR,INPUT_DATA!$A:$A,$B72,INPUT_DATA!$C:$C,"D"))</f>
        <v/>
      </c>
      <c r="CV72" s="726" t="str">
        <f>IF($B72=0,"",SUMIFS(INPUT_DATA!AS:AS,INPUT_DATA!$A:$A,$B72,INPUT_DATA!$C:$C,"D"))</f>
        <v/>
      </c>
      <c r="CW72" s="726" t="str">
        <f>IF($B72=0,"",SUMIFS(INPUT_DATA!AT:AT,INPUT_DATA!$A:$A,$B72,INPUT_DATA!$C:$C,"D"))</f>
        <v/>
      </c>
      <c r="CX72" s="726" t="str">
        <f t="shared" si="35"/>
        <v/>
      </c>
      <c r="CY72" s="737" t="str">
        <f t="shared" si="36"/>
        <v/>
      </c>
      <c r="CZ72" s="748" t="str">
        <f t="shared" si="37"/>
        <v/>
      </c>
      <c r="DA72" s="150"/>
    </row>
    <row r="73" spans="1:105" x14ac:dyDescent="0.2">
      <c r="A73" s="172">
        <f t="shared" si="40"/>
        <v>-26</v>
      </c>
      <c r="B73" s="720">
        <f>INPUT_DATA!BQ60</f>
        <v>0</v>
      </c>
      <c r="C73" s="725" t="str">
        <f>IF($B73=0,"",SUMIFS(INPUT_DATA!D:D,INPUT_DATA!$A:$A,$B73,INPUT_DATA!$C:$C,"S"))</f>
        <v/>
      </c>
      <c r="D73" s="726" t="str">
        <f>IF($B73=0,"",SUMIFS(INPUT_DATA!E:E,INPUT_DATA!$A:$A,$B73,INPUT_DATA!$C:$C,"S"))</f>
        <v/>
      </c>
      <c r="E73" s="727" t="str">
        <f>IF($B73=0,"",SUMIFS(INPUT_DATA!F:F,INPUT_DATA!$A:$A,$B73,INPUT_DATA!$C:$C,"S"))</f>
        <v/>
      </c>
      <c r="F73" s="727" t="str">
        <f>IF($B73=0,"",SUMIFS(INPUT_DATA!G:G,INPUT_DATA!$A:$A,$B73,INPUT_DATA!$C:$C,"S"))</f>
        <v/>
      </c>
      <c r="G73" s="727" t="str">
        <f>IF($B73=0,"",SUMIFS(INPUT_DATA!H:H,INPUT_DATA!$A:$A,$B73,INPUT_DATA!$C:$C,"S"))</f>
        <v/>
      </c>
      <c r="H73" s="727" t="str">
        <f>IF($B73=0,"",SUMIFS(INPUT_DATA!I:I,INPUT_DATA!$A:$A,$B73,INPUT_DATA!$C:$C,"S"))</f>
        <v/>
      </c>
      <c r="I73" s="727" t="str">
        <f>IF($B73=0,"",SUMIFS(INPUT_DATA!J:J,INPUT_DATA!$A:$A,$B73,INPUT_DATA!$C:$C,"S"))</f>
        <v/>
      </c>
      <c r="J73" s="727" t="str">
        <f>IF($B73=0,"",SUMIFS(INPUT_DATA!K:K,INPUT_DATA!$A:$A,$B73,INPUT_DATA!$C:$C,"S"))</f>
        <v/>
      </c>
      <c r="K73" s="727" t="str">
        <f>IF($B73=0,"",SUMIFS(INPUT_DATA!L:L,INPUT_DATA!$A:$A,$B73,INPUT_DATA!$C:$C,"S"))</f>
        <v/>
      </c>
      <c r="L73" s="727" t="str">
        <f>IF($B73=0,"",SUMIFS(INPUT_DATA!M:M,INPUT_DATA!$A:$A,$B73,INPUT_DATA!$C:$C,"S"))</f>
        <v/>
      </c>
      <c r="M73" s="727" t="str">
        <f>IF($B73=0,"",SUMIFS(INPUT_DATA!N:N,INPUT_DATA!$A:$A,$B73,INPUT_DATA!$C:$C,"S"))</f>
        <v/>
      </c>
      <c r="N73" s="727" t="str">
        <f>IF($B73=0,"",SUMIFS(INPUT_DATA!O:O,INPUT_DATA!$A:$A,$B73,INPUT_DATA!$C:$C,"S"))</f>
        <v/>
      </c>
      <c r="O73" s="728" t="str">
        <f t="shared" si="38"/>
        <v/>
      </c>
      <c r="P73" s="729" t="str">
        <f>IF($B73=0,"",SUMIFS(INPUT_DATA!P:P,INPUT_DATA!$A:$A,$B73,INPUT_DATA!$C:$C,"S"))</f>
        <v/>
      </c>
      <c r="Q73" s="729" t="str">
        <f t="shared" si="39"/>
        <v/>
      </c>
      <c r="R73" s="735" t="str">
        <f>IF($B73=0,"",SUMIFS(INPUT_DATA!Q:Q,INPUT_DATA!$A:$A,$B73,INPUT_DATA!$C:$C,"S"))</f>
        <v/>
      </c>
      <c r="S73" s="735" t="str">
        <f>IF($B73=0,"",SUMIFS(INPUT_DATA!R:R,INPUT_DATA!$A:$A,$B73,INPUT_DATA!$C:$C,"S"))</f>
        <v/>
      </c>
      <c r="T73" s="735" t="str">
        <f>IF($B73=0,"",SUMIFS(INPUT_DATA!S:S,INPUT_DATA!$A:$A,$B73,INPUT_DATA!$C:$C,"S"))</f>
        <v/>
      </c>
      <c r="U73" s="312" t="str">
        <f>IF($B73=0,"",SUMIFS(INPUT_DATA!T:T,INPUT_DATA!$A:$A,$B73,INPUT_DATA!$C:$C,"S"))</f>
        <v/>
      </c>
      <c r="V73" s="312" t="str">
        <f>IF($B73=0,"",SUMIFS(INPUT_DATA!U:U,INPUT_DATA!$A:$A,$B73,INPUT_DATA!$C:$C,"S"))</f>
        <v/>
      </c>
      <c r="W73" s="312" t="str">
        <f>IF($B73=0,"",SUMIFS(INPUT_DATA!V:V,INPUT_DATA!$A:$A,$B73,INPUT_DATA!$C:$C,"S"))</f>
        <v/>
      </c>
      <c r="X73" s="312" t="str">
        <f>IF($B73=0,"",SUMIFS(INPUT_DATA!W:W,INPUT_DATA!$A:$A,$B73,INPUT_DATA!$C:$C,"S"))</f>
        <v/>
      </c>
      <c r="Y73" s="312" t="str">
        <f>IF($B73=0,"",SUMIFS(INPUT_DATA!X:X,INPUT_DATA!$A:$A,$B73,INPUT_DATA!$C:$C,"S"))</f>
        <v/>
      </c>
      <c r="Z73" s="312" t="str">
        <f>IF($B73=0,"",SUMIFS(INPUT_DATA!Y:Y,INPUT_DATA!$A:$A,$B73,INPUT_DATA!$C:$C,"S"))</f>
        <v/>
      </c>
      <c r="AA73" s="312" t="str">
        <f>IF($B73=0,"",SUMIFS(INPUT_DATA!Z:Z,INPUT_DATA!$A:$A,$B73,INPUT_DATA!$C:$C,"S"))</f>
        <v/>
      </c>
      <c r="AB73" s="312" t="str">
        <f>IF($B73=0,"",SUMIFS(INPUT_DATA!AA:AA,INPUT_DATA!$A:$A,$B73,INPUT_DATA!$C:$C,"S"))</f>
        <v/>
      </c>
      <c r="AC73" s="312" t="str">
        <f>IF($B73=0,"",SUMIFS(INPUT_DATA!AB:AB,INPUT_DATA!$A:$A,$B73,INPUT_DATA!$C:$C,"S"))</f>
        <v/>
      </c>
      <c r="AD73" s="312" t="str">
        <f>IF($B73=0,"",SUMIFS(INPUT_DATA!AC:AC,INPUT_DATA!$A:$A,$B73,INPUT_DATA!$C:$C,"S"))</f>
        <v/>
      </c>
      <c r="AE73" s="312" t="str">
        <f>IF($B73=0,"",SUMIFS(INPUT_DATA!AD:AD,INPUT_DATA!$A:$A,$B73,INPUT_DATA!$C:$C,"S"))</f>
        <v/>
      </c>
      <c r="AF73" s="312" t="str">
        <f>IF($B73=0,"",SUMIFS(INPUT_DATA!AE:AE,INPUT_DATA!$A:$A,$B73,INPUT_DATA!$C:$C,"S"))</f>
        <v/>
      </c>
      <c r="AG73" s="312" t="str">
        <f>IF($B73=0,"",SUMIFS(INPUT_DATA!AF:AF,INPUT_DATA!$A:$A,$B73,INPUT_DATA!$C:$C,"S"))</f>
        <v/>
      </c>
      <c r="AH73" s="312" t="str">
        <f>IF($B73=0,"",SUMIFS(INPUT_DATA!AG:AG,INPUT_DATA!$A:$A,$B73,INPUT_DATA!$C:$C,"S"))</f>
        <v/>
      </c>
      <c r="AI73" s="312" t="str">
        <f>IF($B73=0,"",SUMIFS(INPUT_DATA!AH:AH,INPUT_DATA!$A:$A,$B73,INPUT_DATA!$C:$C,"S"))</f>
        <v/>
      </c>
      <c r="AJ73" s="312" t="str">
        <f>IF($B73=0,"",SUMIFS(INPUT_DATA!AI:AI,INPUT_DATA!$A:$A,$B73,INPUT_DATA!$C:$C,"S"))</f>
        <v/>
      </c>
      <c r="AK73" s="312" t="str">
        <f>IF($B73=0,"",SUMIFS(INPUT_DATA!AJ:AJ,INPUT_DATA!$A:$A,$B73,INPUT_DATA!$C:$C,"S"))</f>
        <v/>
      </c>
      <c r="AL73" s="312" t="str">
        <f>IF($B73=0,"",SUMIFS(INPUT_DATA!AK:AK,INPUT_DATA!$A:$A,$B73,INPUT_DATA!$C:$C,"S"))</f>
        <v/>
      </c>
      <c r="AM73" s="312" t="str">
        <f>IF($B73=0,"",SUMIFS(INPUT_DATA!AL:AL,INPUT_DATA!$A:$A,$B73,INPUT_DATA!$C:$C,"S"))</f>
        <v/>
      </c>
      <c r="AN73" s="312" t="str">
        <f>IF($B73=0,"",SUMIFS(INPUT_DATA!AM:AM,INPUT_DATA!$A:$A,$B73,INPUT_DATA!$C:$C,"S"))</f>
        <v/>
      </c>
      <c r="AO73" s="312" t="str">
        <f>IF($B73=0,"",SUMIFS(INPUT_DATA!AN:AN,INPUT_DATA!$A:$A,$B73,INPUT_DATA!$C:$C,"S"))</f>
        <v/>
      </c>
      <c r="AP73" s="312" t="str">
        <f>IF($B73=0,"",SUMIFS(INPUT_DATA!AO:AO,INPUT_DATA!$A:$A,$B73,INPUT_DATA!$C:$C,"S"))</f>
        <v/>
      </c>
      <c r="AQ73" s="312" t="str">
        <f>IF($B73=0,"",SUMIFS(INPUT_DATA!AP:AP,INPUT_DATA!$A:$A,$B73,INPUT_DATA!$C:$C,"S"))</f>
        <v/>
      </c>
      <c r="AR73" s="312" t="str">
        <f>IF($B73=0,"",SUMIFS(INPUT_DATA!AQ:AQ,INPUT_DATA!$A:$A,$B73,INPUT_DATA!$C:$C,"S"))</f>
        <v/>
      </c>
      <c r="AS73" s="736" t="str">
        <f t="shared" si="29"/>
        <v/>
      </c>
      <c r="AT73" s="737" t="str">
        <f t="shared" si="30"/>
        <v/>
      </c>
      <c r="AU73" s="738" t="str">
        <f t="shared" si="31"/>
        <v/>
      </c>
      <c r="AV73" s="736" t="str">
        <f>IF($B73=0,"",SUMIFS(INPUT_DATA!AR:AR,INPUT_DATA!$A:$A,$B73,INPUT_DATA!$C:$C,"S"))</f>
        <v/>
      </c>
      <c r="AW73" s="737" t="str">
        <f>IF($B73=0,"",SUMIFS(INPUT_DATA!AS:AS,INPUT_DATA!$A:$A,$B73,INPUT_DATA!$C:$C,"S"))</f>
        <v/>
      </c>
      <c r="AX73" s="738" t="str">
        <f>IF($B73=0,"",SUMIFS(INPUT_DATA!AT:AT,INPUT_DATA!$A:$A,$B73,INPUT_DATA!$C:$C,"S"))</f>
        <v/>
      </c>
      <c r="AY73" s="736" t="str">
        <f t="shared" si="15"/>
        <v/>
      </c>
      <c r="AZ73" s="737" t="str">
        <f t="shared" si="16"/>
        <v/>
      </c>
      <c r="BA73" s="738" t="str">
        <f t="shared" si="17"/>
        <v/>
      </c>
      <c r="BB73" s="150"/>
      <c r="BC73" s="725" t="str">
        <f>IF($B73=0,"",SUMIFS(INPUT_DATA!D:D,INPUT_DATA!$A:$A,$B73,INPUT_DATA!$C:$C,"D"))</f>
        <v/>
      </c>
      <c r="BD73" s="311" t="str">
        <f>IF($B73=0,"",SUMIFS(INPUT_DATA!F:F,INPUT_DATA!$A:$A,$B73,INPUT_DATA!$C:$C,"D"))</f>
        <v/>
      </c>
      <c r="BE73" s="311" t="str">
        <f>IF($B73=0,"",SUMIFS(INPUT_DATA!G:G,INPUT_DATA!$A:$A,$B73,INPUT_DATA!$C:$C,"D"))</f>
        <v/>
      </c>
      <c r="BF73" s="311" t="str">
        <f>IF($B73=0,"",SUMIFS(INPUT_DATA!H:H,INPUT_DATA!$A:$A,$B73,INPUT_DATA!$C:$C,"D"))</f>
        <v/>
      </c>
      <c r="BG73" s="311" t="str">
        <f>IF($B73=0,"",SUMIFS(INPUT_DATA!I:I,INPUT_DATA!$A:$A,$B73,INPUT_DATA!$C:$C,"D"))</f>
        <v/>
      </c>
      <c r="BH73" s="311" t="str">
        <f>IF($B73=0,"",SUMIFS(INPUT_DATA!J:J,INPUT_DATA!$A:$A,$B73,INPUT_DATA!$C:$C,"D"))</f>
        <v/>
      </c>
      <c r="BI73" s="311" t="str">
        <f>IF($B73=0,"",SUMIFS(INPUT_DATA!K:K,INPUT_DATA!$A:$A,$B73,INPUT_DATA!$C:$C,"D"))</f>
        <v/>
      </c>
      <c r="BJ73" s="311" t="str">
        <f>IF($B73=0,"",SUMIFS(INPUT_DATA!L:L,INPUT_DATA!$A:$A,$B73,INPUT_DATA!$C:$C,"D"))</f>
        <v/>
      </c>
      <c r="BK73" s="311" t="str">
        <f>IF($B73=0,"",SUMIFS(INPUT_DATA!M:M,INPUT_DATA!$A:$A,$B73,INPUT_DATA!$C:$C,"D"))</f>
        <v/>
      </c>
      <c r="BL73" s="311" t="str">
        <f>IF($B73=0,"",SUMIFS(INPUT_DATA!N:N,INPUT_DATA!$A:$A,$B73,INPUT_DATA!$C:$C,"D"))</f>
        <v/>
      </c>
      <c r="BM73" s="311" t="str">
        <f>IF($B73=0,"",SUMIFS(INPUT_DATA!O:O,INPUT_DATA!$A:$A,$B73,INPUT_DATA!$C:$C,"D"))</f>
        <v/>
      </c>
      <c r="BN73" s="741" t="str">
        <f t="shared" si="18"/>
        <v/>
      </c>
      <c r="BO73" s="741" t="str">
        <f>IF($B73=0,"",SUMIFS(INPUT_DATA!O:O,INPUT_DATA!$A:$A,$B73,INPUT_DATA!$C:$C,"D"))</f>
        <v/>
      </c>
      <c r="BP73" s="741" t="str">
        <f t="shared" si="19"/>
        <v/>
      </c>
      <c r="BQ73" s="725" t="str">
        <f>IF($B73=0,"",SUMIFS(INPUT_DATA!Q:Q,INPUT_DATA!$A:$A,$B73,INPUT_DATA!$C:$C,"D"))</f>
        <v/>
      </c>
      <c r="BR73" s="747" t="str">
        <f>IF($B73=0,"",SUMIFS(INPUT_DATA!R:R,INPUT_DATA!$A:$A,$B73,INPUT_DATA!$C:$C,"D"))</f>
        <v/>
      </c>
      <c r="BS73" s="747" t="str">
        <f>IF($B73=0,"",SUMIFS(INPUT_DATA!S:S,INPUT_DATA!$A:$A,$B73,INPUT_DATA!$C:$C,"D"))</f>
        <v/>
      </c>
      <c r="BT73" s="311" t="str">
        <f>IF($B73=0,"",SUMIFS(INPUT_DATA!T:T,INPUT_DATA!$A:$A,$B73,INPUT_DATA!$C:$C,"D"))</f>
        <v/>
      </c>
      <c r="BU73" s="311" t="str">
        <f>IF($B73=0,"",SUMIFS(INPUT_DATA!U:U,INPUT_DATA!$A:$A,$B73,INPUT_DATA!$C:$C,"D"))</f>
        <v/>
      </c>
      <c r="BV73" s="311" t="str">
        <f>IF($B73=0,"",SUMIFS(INPUT_DATA!V:V,INPUT_DATA!$A:$A,$B73,INPUT_DATA!$C:$C,"D"))</f>
        <v/>
      </c>
      <c r="BW73" s="311" t="str">
        <f>IF($B73=0,"",SUMIFS(INPUT_DATA!W:W,INPUT_DATA!$A:$A,$B73,INPUT_DATA!$C:$C,"D"))</f>
        <v/>
      </c>
      <c r="BX73" s="311" t="str">
        <f>IF($B73=0,"",SUMIFS(INPUT_DATA!X:X,INPUT_DATA!$A:$A,$B73,INPUT_DATA!$C:$C,"D"))</f>
        <v/>
      </c>
      <c r="BY73" s="311" t="str">
        <f>IF($B73=0,"",SUMIFS(INPUT_DATA!Y:Y,INPUT_DATA!$A:$A,$B73,INPUT_DATA!$C:$C,"D"))</f>
        <v/>
      </c>
      <c r="BZ73" s="352" t="str">
        <f>IF($B73=0,"",SUMIFS(INPUT_DATA!Z:Z,INPUT_DATA!$A:$A,$B73,INPUT_DATA!$C:$C,"D"))</f>
        <v/>
      </c>
      <c r="CA73" s="352" t="str">
        <f>IF($B73=0,"",SUMIFS(INPUT_DATA!AA:AA,INPUT_DATA!$A:$A,$B73,INPUT_DATA!$C:$C,"D"))</f>
        <v/>
      </c>
      <c r="CB73" s="352" t="str">
        <f>IF($B73=0,"",SUMIFS(INPUT_DATA!AB:AB,INPUT_DATA!$A:$A,$B73,INPUT_DATA!$C:$C,"D"))</f>
        <v/>
      </c>
      <c r="CC73" s="311" t="str">
        <f>IF($B73=0,"",SUMIFS(INPUT_DATA!AC:AC,INPUT_DATA!$A:$A,$B73,INPUT_DATA!$C:$C,"D"))</f>
        <v/>
      </c>
      <c r="CD73" s="311" t="str">
        <f>IF($B73=0,"",SUMIFS(INPUT_DATA!AD:AD,INPUT_DATA!$A:$A,$B73,INPUT_DATA!$C:$C,"D"))</f>
        <v/>
      </c>
      <c r="CE73" s="311" t="str">
        <f>IF($B73=0,"",SUMIFS(INPUT_DATA!AE:AE,INPUT_DATA!$A:$A,$B73,INPUT_DATA!$C:$C,"D"))</f>
        <v/>
      </c>
      <c r="CF73" s="352" t="str">
        <f>IF($B73=0,"",SUMIFS(INPUT_DATA!AF:AF,INPUT_DATA!$A:$A,$B73,INPUT_DATA!$C:$C,"D"))</f>
        <v/>
      </c>
      <c r="CG73" s="352" t="str">
        <f>IF($B73=0,"",SUMIFS(INPUT_DATA!AG:AG,INPUT_DATA!$A:$A,$B73,INPUT_DATA!$C:$C,"D"))</f>
        <v/>
      </c>
      <c r="CH73" s="352" t="str">
        <f>IF($B73=0,"",SUMIFS(INPUT_DATA!AH:AH,INPUT_DATA!$A:$A,$B73,INPUT_DATA!$C:$C,"D"))</f>
        <v/>
      </c>
      <c r="CI73" s="153" t="str">
        <f>IF($B73=0,"",SUMIFS(INPUT_DATA!AI:AI,INPUT_DATA!$A:$A,$B73,INPUT_DATA!$C:$C,"D"))</f>
        <v/>
      </c>
      <c r="CJ73" s="153" t="str">
        <f>IF($B73=0,"",SUMIFS(INPUT_DATA!AJ:AJ,INPUT_DATA!$A:$A,$B73,INPUT_DATA!$C:$C,"D"))</f>
        <v/>
      </c>
      <c r="CK73" s="153" t="str">
        <f>IF($B73=0,"",SUMIFS(INPUT_DATA!AK:AK,INPUT_DATA!$A:$A,$B73,INPUT_DATA!$C:$C,"D"))</f>
        <v/>
      </c>
      <c r="CL73" s="153" t="str">
        <f>IF($B73=0,"",SUMIFS(INPUT_DATA!AL:AL,INPUT_DATA!$A:$A,$B73,INPUT_DATA!$C:$C,"D"))</f>
        <v/>
      </c>
      <c r="CM73" s="153" t="str">
        <f>IF($B73=0,"",SUMIFS(INPUT_DATA!AM:AM,INPUT_DATA!$A:$A,$B73,INPUT_DATA!$C:$C,"D"))</f>
        <v/>
      </c>
      <c r="CN73" s="153" t="str">
        <f>IF($B73=0,"",SUMIFS(INPUT_DATA!AN:AN,INPUT_DATA!$A:$A,$B73,INPUT_DATA!$C:$C,"D"))</f>
        <v/>
      </c>
      <c r="CO73" s="153" t="str">
        <f>IF($B73=0,"",SUMIFS(INPUT_DATA!AO:AO,INPUT_DATA!$A:$A,$B73,INPUT_DATA!$C:$C,"D"))</f>
        <v/>
      </c>
      <c r="CP73" s="153" t="str">
        <f>IF($B73=0,"",SUMIFS(INPUT_DATA!AP:AP,INPUT_DATA!$A:$A,$B73,INPUT_DATA!$C:$C,"D"))</f>
        <v/>
      </c>
      <c r="CQ73" s="153" t="str">
        <f>IF($B73=0,"",SUMIFS(INPUT_DATA!AQ:AQ,INPUT_DATA!$A:$A,$B73,INPUT_DATA!$C:$C,"D"))</f>
        <v/>
      </c>
      <c r="CR73" s="737" t="str">
        <f t="shared" si="32"/>
        <v/>
      </c>
      <c r="CS73" s="737" t="str">
        <f t="shared" si="33"/>
        <v/>
      </c>
      <c r="CT73" s="737" t="str">
        <f t="shared" si="34"/>
        <v/>
      </c>
      <c r="CU73" s="726" t="str">
        <f>IF($B73=0,"",SUMIFS(INPUT_DATA!AR:AR,INPUT_DATA!$A:$A,$B73,INPUT_DATA!$C:$C,"D"))</f>
        <v/>
      </c>
      <c r="CV73" s="726" t="str">
        <f>IF($B73=0,"",SUMIFS(INPUT_DATA!AS:AS,INPUT_DATA!$A:$A,$B73,INPUT_DATA!$C:$C,"D"))</f>
        <v/>
      </c>
      <c r="CW73" s="726" t="str">
        <f>IF($B73=0,"",SUMIFS(INPUT_DATA!AT:AT,INPUT_DATA!$A:$A,$B73,INPUT_DATA!$C:$C,"D"))</f>
        <v/>
      </c>
      <c r="CX73" s="726" t="str">
        <f t="shared" si="35"/>
        <v/>
      </c>
      <c r="CY73" s="737" t="str">
        <f t="shared" si="36"/>
        <v/>
      </c>
      <c r="CZ73" s="748" t="str">
        <f t="shared" si="37"/>
        <v/>
      </c>
      <c r="DA73" s="150"/>
    </row>
    <row r="74" spans="1:105" x14ac:dyDescent="0.2">
      <c r="A74" s="172">
        <f t="shared" si="40"/>
        <v>-27</v>
      </c>
      <c r="B74" s="720">
        <f>INPUT_DATA!BQ61</f>
        <v>0</v>
      </c>
      <c r="C74" s="725" t="str">
        <f>IF($B74=0,"",SUMIFS(INPUT_DATA!D:D,INPUT_DATA!$A:$A,$B74,INPUT_DATA!$C:$C,"S"))</f>
        <v/>
      </c>
      <c r="D74" s="726" t="str">
        <f>IF($B74=0,"",SUMIFS(INPUT_DATA!E:E,INPUT_DATA!$A:$A,$B74,INPUT_DATA!$C:$C,"S"))</f>
        <v/>
      </c>
      <c r="E74" s="727" t="str">
        <f>IF($B74=0,"",SUMIFS(INPUT_DATA!F:F,INPUT_DATA!$A:$A,$B74,INPUT_DATA!$C:$C,"S"))</f>
        <v/>
      </c>
      <c r="F74" s="727" t="str">
        <f>IF($B74=0,"",SUMIFS(INPUT_DATA!G:G,INPUT_DATA!$A:$A,$B74,INPUT_DATA!$C:$C,"S"))</f>
        <v/>
      </c>
      <c r="G74" s="727" t="str">
        <f>IF($B74=0,"",SUMIFS(INPUT_DATA!H:H,INPUT_DATA!$A:$A,$B74,INPUT_DATA!$C:$C,"S"))</f>
        <v/>
      </c>
      <c r="H74" s="727" t="str">
        <f>IF($B74=0,"",SUMIFS(INPUT_DATA!I:I,INPUT_DATA!$A:$A,$B74,INPUT_DATA!$C:$C,"S"))</f>
        <v/>
      </c>
      <c r="I74" s="727" t="str">
        <f>IF($B74=0,"",SUMIFS(INPUT_DATA!J:J,INPUT_DATA!$A:$A,$B74,INPUT_DATA!$C:$C,"S"))</f>
        <v/>
      </c>
      <c r="J74" s="727" t="str">
        <f>IF($B74=0,"",SUMIFS(INPUT_DATA!K:K,INPUT_DATA!$A:$A,$B74,INPUT_DATA!$C:$C,"S"))</f>
        <v/>
      </c>
      <c r="K74" s="727" t="str">
        <f>IF($B74=0,"",SUMIFS(INPUT_DATA!L:L,INPUT_DATA!$A:$A,$B74,INPUT_DATA!$C:$C,"S"))</f>
        <v/>
      </c>
      <c r="L74" s="727" t="str">
        <f>IF($B74=0,"",SUMIFS(INPUT_DATA!M:M,INPUT_DATA!$A:$A,$B74,INPUT_DATA!$C:$C,"S"))</f>
        <v/>
      </c>
      <c r="M74" s="727" t="str">
        <f>IF($B74=0,"",SUMIFS(INPUT_DATA!N:N,INPUT_DATA!$A:$A,$B74,INPUT_DATA!$C:$C,"S"))</f>
        <v/>
      </c>
      <c r="N74" s="727" t="str">
        <f>IF($B74=0,"",SUMIFS(INPUT_DATA!O:O,INPUT_DATA!$A:$A,$B74,INPUT_DATA!$C:$C,"S"))</f>
        <v/>
      </c>
      <c r="O74" s="728" t="str">
        <f t="shared" si="38"/>
        <v/>
      </c>
      <c r="P74" s="729" t="str">
        <f>IF($B74=0,"",SUMIFS(INPUT_DATA!P:P,INPUT_DATA!$A:$A,$B74,INPUT_DATA!$C:$C,"S"))</f>
        <v/>
      </c>
      <c r="Q74" s="729" t="str">
        <f t="shared" si="39"/>
        <v/>
      </c>
      <c r="R74" s="735" t="str">
        <f>IF($B74=0,"",SUMIFS(INPUT_DATA!Q:Q,INPUT_DATA!$A:$A,$B74,INPUT_DATA!$C:$C,"S"))</f>
        <v/>
      </c>
      <c r="S74" s="735" t="str">
        <f>IF($B74=0,"",SUMIFS(INPUT_DATA!R:R,INPUT_DATA!$A:$A,$B74,INPUT_DATA!$C:$C,"S"))</f>
        <v/>
      </c>
      <c r="T74" s="735" t="str">
        <f>IF($B74=0,"",SUMIFS(INPUT_DATA!S:S,INPUT_DATA!$A:$A,$B74,INPUT_DATA!$C:$C,"S"))</f>
        <v/>
      </c>
      <c r="U74" s="312" t="str">
        <f>IF($B74=0,"",SUMIFS(INPUT_DATA!T:T,INPUT_DATA!$A:$A,$B74,INPUT_DATA!$C:$C,"S"))</f>
        <v/>
      </c>
      <c r="V74" s="312" t="str">
        <f>IF($B74=0,"",SUMIFS(INPUT_DATA!U:U,INPUT_DATA!$A:$A,$B74,INPUT_DATA!$C:$C,"S"))</f>
        <v/>
      </c>
      <c r="W74" s="312" t="str">
        <f>IF($B74=0,"",SUMIFS(INPUT_DATA!V:V,INPUT_DATA!$A:$A,$B74,INPUT_DATA!$C:$C,"S"))</f>
        <v/>
      </c>
      <c r="X74" s="312" t="str">
        <f>IF($B74=0,"",SUMIFS(INPUT_DATA!W:W,INPUT_DATA!$A:$A,$B74,INPUT_DATA!$C:$C,"S"))</f>
        <v/>
      </c>
      <c r="Y74" s="312" t="str">
        <f>IF($B74=0,"",SUMIFS(INPUT_DATA!X:X,INPUT_DATA!$A:$A,$B74,INPUT_DATA!$C:$C,"S"))</f>
        <v/>
      </c>
      <c r="Z74" s="312" t="str">
        <f>IF($B74=0,"",SUMIFS(INPUT_DATA!Y:Y,INPUT_DATA!$A:$A,$B74,INPUT_DATA!$C:$C,"S"))</f>
        <v/>
      </c>
      <c r="AA74" s="312" t="str">
        <f>IF($B74=0,"",SUMIFS(INPUT_DATA!Z:Z,INPUT_DATA!$A:$A,$B74,INPUT_DATA!$C:$C,"S"))</f>
        <v/>
      </c>
      <c r="AB74" s="312" t="str">
        <f>IF($B74=0,"",SUMIFS(INPUT_DATA!AA:AA,INPUT_DATA!$A:$A,$B74,INPUT_DATA!$C:$C,"S"))</f>
        <v/>
      </c>
      <c r="AC74" s="312" t="str">
        <f>IF($B74=0,"",SUMIFS(INPUT_DATA!AB:AB,INPUT_DATA!$A:$A,$B74,INPUT_DATA!$C:$C,"S"))</f>
        <v/>
      </c>
      <c r="AD74" s="312" t="str">
        <f>IF($B74=0,"",SUMIFS(INPUT_DATA!AC:AC,INPUT_DATA!$A:$A,$B74,INPUT_DATA!$C:$C,"S"))</f>
        <v/>
      </c>
      <c r="AE74" s="312" t="str">
        <f>IF($B74=0,"",SUMIFS(INPUT_DATA!AD:AD,INPUT_DATA!$A:$A,$B74,INPUT_DATA!$C:$C,"S"))</f>
        <v/>
      </c>
      <c r="AF74" s="312" t="str">
        <f>IF($B74=0,"",SUMIFS(INPUT_DATA!AE:AE,INPUT_DATA!$A:$A,$B74,INPUT_DATA!$C:$C,"S"))</f>
        <v/>
      </c>
      <c r="AG74" s="312" t="str">
        <f>IF($B74=0,"",SUMIFS(INPUT_DATA!AF:AF,INPUT_DATA!$A:$A,$B74,INPUT_DATA!$C:$C,"S"))</f>
        <v/>
      </c>
      <c r="AH74" s="312" t="str">
        <f>IF($B74=0,"",SUMIFS(INPUT_DATA!AG:AG,INPUT_DATA!$A:$A,$B74,INPUT_DATA!$C:$C,"S"))</f>
        <v/>
      </c>
      <c r="AI74" s="312" t="str">
        <f>IF($B74=0,"",SUMIFS(INPUT_DATA!AH:AH,INPUT_DATA!$A:$A,$B74,INPUT_DATA!$C:$C,"S"))</f>
        <v/>
      </c>
      <c r="AJ74" s="312" t="str">
        <f>IF($B74=0,"",SUMIFS(INPUT_DATA!AI:AI,INPUT_DATA!$A:$A,$B74,INPUT_DATA!$C:$C,"S"))</f>
        <v/>
      </c>
      <c r="AK74" s="312" t="str">
        <f>IF($B74=0,"",SUMIFS(INPUT_DATA!AJ:AJ,INPUT_DATA!$A:$A,$B74,INPUT_DATA!$C:$C,"S"))</f>
        <v/>
      </c>
      <c r="AL74" s="312" t="str">
        <f>IF($B74=0,"",SUMIFS(INPUT_DATA!AK:AK,INPUT_DATA!$A:$A,$B74,INPUT_DATA!$C:$C,"S"))</f>
        <v/>
      </c>
      <c r="AM74" s="312" t="str">
        <f>IF($B74=0,"",SUMIFS(INPUT_DATA!AL:AL,INPUT_DATA!$A:$A,$B74,INPUT_DATA!$C:$C,"S"))</f>
        <v/>
      </c>
      <c r="AN74" s="312" t="str">
        <f>IF($B74=0,"",SUMIFS(INPUT_DATA!AM:AM,INPUT_DATA!$A:$A,$B74,INPUT_DATA!$C:$C,"S"))</f>
        <v/>
      </c>
      <c r="AO74" s="312" t="str">
        <f>IF($B74=0,"",SUMIFS(INPUT_DATA!AN:AN,INPUT_DATA!$A:$A,$B74,INPUT_DATA!$C:$C,"S"))</f>
        <v/>
      </c>
      <c r="AP74" s="312" t="str">
        <f>IF($B74=0,"",SUMIFS(INPUT_DATA!AO:AO,INPUT_DATA!$A:$A,$B74,INPUT_DATA!$C:$C,"S"))</f>
        <v/>
      </c>
      <c r="AQ74" s="312" t="str">
        <f>IF($B74=0,"",SUMIFS(INPUT_DATA!AP:AP,INPUT_DATA!$A:$A,$B74,INPUT_DATA!$C:$C,"S"))</f>
        <v/>
      </c>
      <c r="AR74" s="312" t="str">
        <f>IF($B74=0,"",SUMIFS(INPUT_DATA!AQ:AQ,INPUT_DATA!$A:$A,$B74,INPUT_DATA!$C:$C,"S"))</f>
        <v/>
      </c>
      <c r="AS74" s="736" t="str">
        <f t="shared" si="29"/>
        <v/>
      </c>
      <c r="AT74" s="737" t="str">
        <f t="shared" si="30"/>
        <v/>
      </c>
      <c r="AU74" s="738" t="str">
        <f t="shared" si="31"/>
        <v/>
      </c>
      <c r="AV74" s="736" t="str">
        <f>IF($B74=0,"",SUMIFS(INPUT_DATA!AR:AR,INPUT_DATA!$A:$A,$B74,INPUT_DATA!$C:$C,"S"))</f>
        <v/>
      </c>
      <c r="AW74" s="737" t="str">
        <f>IF($B74=0,"",SUMIFS(INPUT_DATA!AS:AS,INPUT_DATA!$A:$A,$B74,INPUT_DATA!$C:$C,"S"))</f>
        <v/>
      </c>
      <c r="AX74" s="738" t="str">
        <f>IF($B74=0,"",SUMIFS(INPUT_DATA!AT:AT,INPUT_DATA!$A:$A,$B74,INPUT_DATA!$C:$C,"S"))</f>
        <v/>
      </c>
      <c r="AY74" s="736" t="str">
        <f t="shared" si="15"/>
        <v/>
      </c>
      <c r="AZ74" s="737" t="str">
        <f t="shared" si="16"/>
        <v/>
      </c>
      <c r="BA74" s="738" t="str">
        <f t="shared" si="17"/>
        <v/>
      </c>
      <c r="BB74" s="150"/>
      <c r="BC74" s="725" t="str">
        <f>IF($B74=0,"",SUMIFS(INPUT_DATA!D:D,INPUT_DATA!$A:$A,$B74,INPUT_DATA!$C:$C,"D"))</f>
        <v/>
      </c>
      <c r="BD74" s="311" t="str">
        <f>IF($B74=0,"",SUMIFS(INPUT_DATA!F:F,INPUT_DATA!$A:$A,$B74,INPUT_DATA!$C:$C,"D"))</f>
        <v/>
      </c>
      <c r="BE74" s="311" t="str">
        <f>IF($B74=0,"",SUMIFS(INPUT_DATA!G:G,INPUT_DATA!$A:$A,$B74,INPUT_DATA!$C:$C,"D"))</f>
        <v/>
      </c>
      <c r="BF74" s="311" t="str">
        <f>IF($B74=0,"",SUMIFS(INPUT_DATA!H:H,INPUT_DATA!$A:$A,$B74,INPUT_DATA!$C:$C,"D"))</f>
        <v/>
      </c>
      <c r="BG74" s="311" t="str">
        <f>IF($B74=0,"",SUMIFS(INPUT_DATA!I:I,INPUT_DATA!$A:$A,$B74,INPUT_DATA!$C:$C,"D"))</f>
        <v/>
      </c>
      <c r="BH74" s="311" t="str">
        <f>IF($B74=0,"",SUMIFS(INPUT_DATA!J:J,INPUT_DATA!$A:$A,$B74,INPUT_DATA!$C:$C,"D"))</f>
        <v/>
      </c>
      <c r="BI74" s="311" t="str">
        <f>IF($B74=0,"",SUMIFS(INPUT_DATA!K:K,INPUT_DATA!$A:$A,$B74,INPUT_DATA!$C:$C,"D"))</f>
        <v/>
      </c>
      <c r="BJ74" s="311" t="str">
        <f>IF($B74=0,"",SUMIFS(INPUT_DATA!L:L,INPUT_DATA!$A:$A,$B74,INPUT_DATA!$C:$C,"D"))</f>
        <v/>
      </c>
      <c r="BK74" s="311" t="str">
        <f>IF($B74=0,"",SUMIFS(INPUT_DATA!M:M,INPUT_DATA!$A:$A,$B74,INPUT_DATA!$C:$C,"D"))</f>
        <v/>
      </c>
      <c r="BL74" s="311" t="str">
        <f>IF($B74=0,"",SUMIFS(INPUT_DATA!N:N,INPUT_DATA!$A:$A,$B74,INPUT_DATA!$C:$C,"D"))</f>
        <v/>
      </c>
      <c r="BM74" s="311" t="str">
        <f>IF($B74=0,"",SUMIFS(INPUT_DATA!O:O,INPUT_DATA!$A:$A,$B74,INPUT_DATA!$C:$C,"D"))</f>
        <v/>
      </c>
      <c r="BN74" s="741" t="str">
        <f t="shared" si="18"/>
        <v/>
      </c>
      <c r="BO74" s="741" t="str">
        <f>IF($B74=0,"",SUMIFS(INPUT_DATA!O:O,INPUT_DATA!$A:$A,$B74,INPUT_DATA!$C:$C,"D"))</f>
        <v/>
      </c>
      <c r="BP74" s="741" t="str">
        <f t="shared" si="19"/>
        <v/>
      </c>
      <c r="BQ74" s="725" t="str">
        <f>IF($B74=0,"",SUMIFS(INPUT_DATA!Q:Q,INPUT_DATA!$A:$A,$B74,INPUT_DATA!$C:$C,"D"))</f>
        <v/>
      </c>
      <c r="BR74" s="747" t="str">
        <f>IF($B74=0,"",SUMIFS(INPUT_DATA!R:R,INPUT_DATA!$A:$A,$B74,INPUT_DATA!$C:$C,"D"))</f>
        <v/>
      </c>
      <c r="BS74" s="747" t="str">
        <f>IF($B74=0,"",SUMIFS(INPUT_DATA!S:S,INPUT_DATA!$A:$A,$B74,INPUT_DATA!$C:$C,"D"))</f>
        <v/>
      </c>
      <c r="BT74" s="311" t="str">
        <f>IF($B74=0,"",SUMIFS(INPUT_DATA!T:T,INPUT_DATA!$A:$A,$B74,INPUT_DATA!$C:$C,"D"))</f>
        <v/>
      </c>
      <c r="BU74" s="311" t="str">
        <f>IF($B74=0,"",SUMIFS(INPUT_DATA!U:U,INPUT_DATA!$A:$A,$B74,INPUT_DATA!$C:$C,"D"))</f>
        <v/>
      </c>
      <c r="BV74" s="311" t="str">
        <f>IF($B74=0,"",SUMIFS(INPUT_DATA!V:V,INPUT_DATA!$A:$A,$B74,INPUT_DATA!$C:$C,"D"))</f>
        <v/>
      </c>
      <c r="BW74" s="311" t="str">
        <f>IF($B74=0,"",SUMIFS(INPUT_DATA!W:W,INPUT_DATA!$A:$A,$B74,INPUT_DATA!$C:$C,"D"))</f>
        <v/>
      </c>
      <c r="BX74" s="311" t="str">
        <f>IF($B74=0,"",SUMIFS(INPUT_DATA!X:X,INPUT_DATA!$A:$A,$B74,INPUT_DATA!$C:$C,"D"))</f>
        <v/>
      </c>
      <c r="BY74" s="311" t="str">
        <f>IF($B74=0,"",SUMIFS(INPUT_DATA!Y:Y,INPUT_DATA!$A:$A,$B74,INPUT_DATA!$C:$C,"D"))</f>
        <v/>
      </c>
      <c r="BZ74" s="352" t="str">
        <f>IF($B74=0,"",SUMIFS(INPUT_DATA!Z:Z,INPUT_DATA!$A:$A,$B74,INPUT_DATA!$C:$C,"D"))</f>
        <v/>
      </c>
      <c r="CA74" s="352" t="str">
        <f>IF($B74=0,"",SUMIFS(INPUT_DATA!AA:AA,INPUT_DATA!$A:$A,$B74,INPUT_DATA!$C:$C,"D"))</f>
        <v/>
      </c>
      <c r="CB74" s="352" t="str">
        <f>IF($B74=0,"",SUMIFS(INPUT_DATA!AB:AB,INPUT_DATA!$A:$A,$B74,INPUT_DATA!$C:$C,"D"))</f>
        <v/>
      </c>
      <c r="CC74" s="311" t="str">
        <f>IF($B74=0,"",SUMIFS(INPUT_DATA!AC:AC,INPUT_DATA!$A:$A,$B74,INPUT_DATA!$C:$C,"D"))</f>
        <v/>
      </c>
      <c r="CD74" s="311" t="str">
        <f>IF($B74=0,"",SUMIFS(INPUT_DATA!AD:AD,INPUT_DATA!$A:$A,$B74,INPUT_DATA!$C:$C,"D"))</f>
        <v/>
      </c>
      <c r="CE74" s="311" t="str">
        <f>IF($B74=0,"",SUMIFS(INPUT_DATA!AE:AE,INPUT_DATA!$A:$A,$B74,INPUT_DATA!$C:$C,"D"))</f>
        <v/>
      </c>
      <c r="CF74" s="352" t="str">
        <f>IF($B74=0,"",SUMIFS(INPUT_DATA!AF:AF,INPUT_DATA!$A:$A,$B74,INPUT_DATA!$C:$C,"D"))</f>
        <v/>
      </c>
      <c r="CG74" s="352" t="str">
        <f>IF($B74=0,"",SUMIFS(INPUT_DATA!AG:AG,INPUT_DATA!$A:$A,$B74,INPUT_DATA!$C:$C,"D"))</f>
        <v/>
      </c>
      <c r="CH74" s="352" t="str">
        <f>IF($B74=0,"",SUMIFS(INPUT_DATA!AH:AH,INPUT_DATA!$A:$A,$B74,INPUT_DATA!$C:$C,"D"))</f>
        <v/>
      </c>
      <c r="CI74" s="153" t="str">
        <f>IF($B74=0,"",SUMIFS(INPUT_DATA!AI:AI,INPUT_DATA!$A:$A,$B74,INPUT_DATA!$C:$C,"D"))</f>
        <v/>
      </c>
      <c r="CJ74" s="153" t="str">
        <f>IF($B74=0,"",SUMIFS(INPUT_DATA!AJ:AJ,INPUT_DATA!$A:$A,$B74,INPUT_DATA!$C:$C,"D"))</f>
        <v/>
      </c>
      <c r="CK74" s="153" t="str">
        <f>IF($B74=0,"",SUMIFS(INPUT_DATA!AK:AK,INPUT_DATA!$A:$A,$B74,INPUT_DATA!$C:$C,"D"))</f>
        <v/>
      </c>
      <c r="CL74" s="153" t="str">
        <f>IF($B74=0,"",SUMIFS(INPUT_DATA!AL:AL,INPUT_DATA!$A:$A,$B74,INPUT_DATA!$C:$C,"D"))</f>
        <v/>
      </c>
      <c r="CM74" s="153" t="str">
        <f>IF($B74=0,"",SUMIFS(INPUT_DATA!AM:AM,INPUT_DATA!$A:$A,$B74,INPUT_DATA!$C:$C,"D"))</f>
        <v/>
      </c>
      <c r="CN74" s="153" t="str">
        <f>IF($B74=0,"",SUMIFS(INPUT_DATA!AN:AN,INPUT_DATA!$A:$A,$B74,INPUT_DATA!$C:$C,"D"))</f>
        <v/>
      </c>
      <c r="CO74" s="153" t="str">
        <f>IF($B74=0,"",SUMIFS(INPUT_DATA!AO:AO,INPUT_DATA!$A:$A,$B74,INPUT_DATA!$C:$C,"D"))</f>
        <v/>
      </c>
      <c r="CP74" s="153" t="str">
        <f>IF($B74=0,"",SUMIFS(INPUT_DATA!AP:AP,INPUT_DATA!$A:$A,$B74,INPUT_DATA!$C:$C,"D"))</f>
        <v/>
      </c>
      <c r="CQ74" s="153" t="str">
        <f>IF($B74=0,"",SUMIFS(INPUT_DATA!AQ:AQ,INPUT_DATA!$A:$A,$B74,INPUT_DATA!$C:$C,"D"))</f>
        <v/>
      </c>
      <c r="CR74" s="737" t="str">
        <f t="shared" si="32"/>
        <v/>
      </c>
      <c r="CS74" s="737" t="str">
        <f t="shared" si="33"/>
        <v/>
      </c>
      <c r="CT74" s="737" t="str">
        <f t="shared" si="34"/>
        <v/>
      </c>
      <c r="CU74" s="726" t="str">
        <f>IF($B74=0,"",SUMIFS(INPUT_DATA!AR:AR,INPUT_DATA!$A:$A,$B74,INPUT_DATA!$C:$C,"D"))</f>
        <v/>
      </c>
      <c r="CV74" s="726" t="str">
        <f>IF($B74=0,"",SUMIFS(INPUT_DATA!AS:AS,INPUT_DATA!$A:$A,$B74,INPUT_DATA!$C:$C,"D"))</f>
        <v/>
      </c>
      <c r="CW74" s="726" t="str">
        <f>IF($B74=0,"",SUMIFS(INPUT_DATA!AT:AT,INPUT_DATA!$A:$A,$B74,INPUT_DATA!$C:$C,"D"))</f>
        <v/>
      </c>
      <c r="CX74" s="726" t="str">
        <f t="shared" si="35"/>
        <v/>
      </c>
      <c r="CY74" s="737" t="str">
        <f t="shared" si="36"/>
        <v/>
      </c>
      <c r="CZ74" s="748" t="str">
        <f t="shared" si="37"/>
        <v/>
      </c>
      <c r="DA74" s="150"/>
    </row>
    <row r="75" spans="1:105" x14ac:dyDescent="0.2">
      <c r="A75" s="172">
        <f t="shared" si="40"/>
        <v>-28</v>
      </c>
      <c r="B75" s="720">
        <f>INPUT_DATA!BQ62</f>
        <v>0</v>
      </c>
      <c r="C75" s="725" t="str">
        <f>IF($B75=0,"",SUMIFS(INPUT_DATA!D:D,INPUT_DATA!$A:$A,$B75,INPUT_DATA!$C:$C,"S"))</f>
        <v/>
      </c>
      <c r="D75" s="726" t="str">
        <f>IF($B75=0,"",SUMIFS(INPUT_DATA!E:E,INPUT_DATA!$A:$A,$B75,INPUT_DATA!$C:$C,"S"))</f>
        <v/>
      </c>
      <c r="E75" s="727" t="str">
        <f>IF($B75=0,"",SUMIFS(INPUT_DATA!F:F,INPUT_DATA!$A:$A,$B75,INPUT_DATA!$C:$C,"S"))</f>
        <v/>
      </c>
      <c r="F75" s="727" t="str">
        <f>IF($B75=0,"",SUMIFS(INPUT_DATA!G:G,INPUT_DATA!$A:$A,$B75,INPUT_DATA!$C:$C,"S"))</f>
        <v/>
      </c>
      <c r="G75" s="727" t="str">
        <f>IF($B75=0,"",SUMIFS(INPUT_DATA!H:H,INPUT_DATA!$A:$A,$B75,INPUT_DATA!$C:$C,"S"))</f>
        <v/>
      </c>
      <c r="H75" s="727" t="str">
        <f>IF($B75=0,"",SUMIFS(INPUT_DATA!I:I,INPUT_DATA!$A:$A,$B75,INPUT_DATA!$C:$C,"S"))</f>
        <v/>
      </c>
      <c r="I75" s="727" t="str">
        <f>IF($B75=0,"",SUMIFS(INPUT_DATA!J:J,INPUT_DATA!$A:$A,$B75,INPUT_DATA!$C:$C,"S"))</f>
        <v/>
      </c>
      <c r="J75" s="727" t="str">
        <f>IF($B75=0,"",SUMIFS(INPUT_DATA!K:K,INPUT_DATA!$A:$A,$B75,INPUT_DATA!$C:$C,"S"))</f>
        <v/>
      </c>
      <c r="K75" s="727" t="str">
        <f>IF($B75=0,"",SUMIFS(INPUT_DATA!L:L,INPUT_DATA!$A:$A,$B75,INPUT_DATA!$C:$C,"S"))</f>
        <v/>
      </c>
      <c r="L75" s="727" t="str">
        <f>IF($B75=0,"",SUMIFS(INPUT_DATA!M:M,INPUT_DATA!$A:$A,$B75,INPUT_DATA!$C:$C,"S"))</f>
        <v/>
      </c>
      <c r="M75" s="727" t="str">
        <f>IF($B75=0,"",SUMIFS(INPUT_DATA!N:N,INPUT_DATA!$A:$A,$B75,INPUT_DATA!$C:$C,"S"))</f>
        <v/>
      </c>
      <c r="N75" s="727" t="str">
        <f>IF($B75=0,"",SUMIFS(INPUT_DATA!O:O,INPUT_DATA!$A:$A,$B75,INPUT_DATA!$C:$C,"S"))</f>
        <v/>
      </c>
      <c r="O75" s="728" t="str">
        <f t="shared" si="38"/>
        <v/>
      </c>
      <c r="P75" s="729" t="str">
        <f>IF($B75=0,"",SUMIFS(INPUT_DATA!P:P,INPUT_DATA!$A:$A,$B75,INPUT_DATA!$C:$C,"S"))</f>
        <v/>
      </c>
      <c r="Q75" s="729" t="str">
        <f t="shared" si="39"/>
        <v/>
      </c>
      <c r="R75" s="735" t="str">
        <f>IF($B75=0,"",SUMIFS(INPUT_DATA!Q:Q,INPUT_DATA!$A:$A,$B75,INPUT_DATA!$C:$C,"S"))</f>
        <v/>
      </c>
      <c r="S75" s="735" t="str">
        <f>IF($B75=0,"",SUMIFS(INPUT_DATA!R:R,INPUT_DATA!$A:$A,$B75,INPUT_DATA!$C:$C,"S"))</f>
        <v/>
      </c>
      <c r="T75" s="735" t="str">
        <f>IF($B75=0,"",SUMIFS(INPUT_DATA!S:S,INPUT_DATA!$A:$A,$B75,INPUT_DATA!$C:$C,"S"))</f>
        <v/>
      </c>
      <c r="U75" s="312" t="str">
        <f>IF($B75=0,"",SUMIFS(INPUT_DATA!T:T,INPUT_DATA!$A:$A,$B75,INPUT_DATA!$C:$C,"S"))</f>
        <v/>
      </c>
      <c r="V75" s="312" t="str">
        <f>IF($B75=0,"",SUMIFS(INPUT_DATA!U:U,INPUT_DATA!$A:$A,$B75,INPUT_DATA!$C:$C,"S"))</f>
        <v/>
      </c>
      <c r="W75" s="312" t="str">
        <f>IF($B75=0,"",SUMIFS(INPUT_DATA!V:V,INPUT_DATA!$A:$A,$B75,INPUT_DATA!$C:$C,"S"))</f>
        <v/>
      </c>
      <c r="X75" s="312" t="str">
        <f>IF($B75=0,"",SUMIFS(INPUT_DATA!W:W,INPUT_DATA!$A:$A,$B75,INPUT_DATA!$C:$C,"S"))</f>
        <v/>
      </c>
      <c r="Y75" s="312" t="str">
        <f>IF($B75=0,"",SUMIFS(INPUT_DATA!X:X,INPUT_DATA!$A:$A,$B75,INPUT_DATA!$C:$C,"S"))</f>
        <v/>
      </c>
      <c r="Z75" s="312" t="str">
        <f>IF($B75=0,"",SUMIFS(INPUT_DATA!Y:Y,INPUT_DATA!$A:$A,$B75,INPUT_DATA!$C:$C,"S"))</f>
        <v/>
      </c>
      <c r="AA75" s="312" t="str">
        <f>IF($B75=0,"",SUMIFS(INPUT_DATA!Z:Z,INPUT_DATA!$A:$A,$B75,INPUT_DATA!$C:$C,"S"))</f>
        <v/>
      </c>
      <c r="AB75" s="312" t="str">
        <f>IF($B75=0,"",SUMIFS(INPUT_DATA!AA:AA,INPUT_DATA!$A:$A,$B75,INPUT_DATA!$C:$C,"S"))</f>
        <v/>
      </c>
      <c r="AC75" s="312" t="str">
        <f>IF($B75=0,"",SUMIFS(INPUT_DATA!AB:AB,INPUT_DATA!$A:$A,$B75,INPUT_DATA!$C:$C,"S"))</f>
        <v/>
      </c>
      <c r="AD75" s="312" t="str">
        <f>IF($B75=0,"",SUMIFS(INPUT_DATA!AC:AC,INPUT_DATA!$A:$A,$B75,INPUT_DATA!$C:$C,"S"))</f>
        <v/>
      </c>
      <c r="AE75" s="312" t="str">
        <f>IF($B75=0,"",SUMIFS(INPUT_DATA!AD:AD,INPUT_DATA!$A:$A,$B75,INPUT_DATA!$C:$C,"S"))</f>
        <v/>
      </c>
      <c r="AF75" s="312" t="str">
        <f>IF($B75=0,"",SUMIFS(INPUT_DATA!AE:AE,INPUT_DATA!$A:$A,$B75,INPUT_DATA!$C:$C,"S"))</f>
        <v/>
      </c>
      <c r="AG75" s="312" t="str">
        <f>IF($B75=0,"",SUMIFS(INPUT_DATA!AF:AF,INPUT_DATA!$A:$A,$B75,INPUT_DATA!$C:$C,"S"))</f>
        <v/>
      </c>
      <c r="AH75" s="312" t="str">
        <f>IF($B75=0,"",SUMIFS(INPUT_DATA!AG:AG,INPUT_DATA!$A:$A,$B75,INPUT_DATA!$C:$C,"S"))</f>
        <v/>
      </c>
      <c r="AI75" s="312" t="str">
        <f>IF($B75=0,"",SUMIFS(INPUT_DATA!AH:AH,INPUT_DATA!$A:$A,$B75,INPUT_DATA!$C:$C,"S"))</f>
        <v/>
      </c>
      <c r="AJ75" s="312" t="str">
        <f>IF($B75=0,"",SUMIFS(INPUT_DATA!AI:AI,INPUT_DATA!$A:$A,$B75,INPUT_DATA!$C:$C,"S"))</f>
        <v/>
      </c>
      <c r="AK75" s="312" t="str">
        <f>IF($B75=0,"",SUMIFS(INPUT_DATA!AJ:AJ,INPUT_DATA!$A:$A,$B75,INPUT_DATA!$C:$C,"S"))</f>
        <v/>
      </c>
      <c r="AL75" s="312" t="str">
        <f>IF($B75=0,"",SUMIFS(INPUT_DATA!AK:AK,INPUT_DATA!$A:$A,$B75,INPUT_DATA!$C:$C,"S"))</f>
        <v/>
      </c>
      <c r="AM75" s="312" t="str">
        <f>IF($B75=0,"",SUMIFS(INPUT_DATA!AL:AL,INPUT_DATA!$A:$A,$B75,INPUT_DATA!$C:$C,"S"))</f>
        <v/>
      </c>
      <c r="AN75" s="312" t="str">
        <f>IF($B75=0,"",SUMIFS(INPUT_DATA!AM:AM,INPUT_DATA!$A:$A,$B75,INPUT_DATA!$C:$C,"S"))</f>
        <v/>
      </c>
      <c r="AO75" s="312" t="str">
        <f>IF($B75=0,"",SUMIFS(INPUT_DATA!AN:AN,INPUT_DATA!$A:$A,$B75,INPUT_DATA!$C:$C,"S"))</f>
        <v/>
      </c>
      <c r="AP75" s="312" t="str">
        <f>IF($B75=0,"",SUMIFS(INPUT_DATA!AO:AO,INPUT_DATA!$A:$A,$B75,INPUT_DATA!$C:$C,"S"))</f>
        <v/>
      </c>
      <c r="AQ75" s="312" t="str">
        <f>IF($B75=0,"",SUMIFS(INPUT_DATA!AP:AP,INPUT_DATA!$A:$A,$B75,INPUT_DATA!$C:$C,"S"))</f>
        <v/>
      </c>
      <c r="AR75" s="312" t="str">
        <f>IF($B75=0,"",SUMIFS(INPUT_DATA!AQ:AQ,INPUT_DATA!$A:$A,$B75,INPUT_DATA!$C:$C,"S"))</f>
        <v/>
      </c>
      <c r="AS75" s="736" t="str">
        <f t="shared" si="29"/>
        <v/>
      </c>
      <c r="AT75" s="737" t="str">
        <f t="shared" si="30"/>
        <v/>
      </c>
      <c r="AU75" s="738" t="str">
        <f t="shared" si="31"/>
        <v/>
      </c>
      <c r="AV75" s="736" t="str">
        <f>IF($B75=0,"",SUMIFS(INPUT_DATA!AR:AR,INPUT_DATA!$A:$A,$B75,INPUT_DATA!$C:$C,"S"))</f>
        <v/>
      </c>
      <c r="AW75" s="737" t="str">
        <f>IF($B75=0,"",SUMIFS(INPUT_DATA!AS:AS,INPUT_DATA!$A:$A,$B75,INPUT_DATA!$C:$C,"S"))</f>
        <v/>
      </c>
      <c r="AX75" s="738" t="str">
        <f>IF($B75=0,"",SUMIFS(INPUT_DATA!AT:AT,INPUT_DATA!$A:$A,$B75,INPUT_DATA!$C:$C,"S"))</f>
        <v/>
      </c>
      <c r="AY75" s="736" t="str">
        <f t="shared" si="15"/>
        <v/>
      </c>
      <c r="AZ75" s="737" t="str">
        <f t="shared" si="16"/>
        <v/>
      </c>
      <c r="BA75" s="738" t="str">
        <f t="shared" si="17"/>
        <v/>
      </c>
      <c r="BB75" s="150"/>
      <c r="BC75" s="725" t="str">
        <f>IF($B75=0,"",SUMIFS(INPUT_DATA!D:D,INPUT_DATA!$A:$A,$B75,INPUT_DATA!$C:$C,"D"))</f>
        <v/>
      </c>
      <c r="BD75" s="311" t="str">
        <f>IF($B75=0,"",SUMIFS(INPUT_DATA!F:F,INPUT_DATA!$A:$A,$B75,INPUT_DATA!$C:$C,"D"))</f>
        <v/>
      </c>
      <c r="BE75" s="311" t="str">
        <f>IF($B75=0,"",SUMIFS(INPUT_DATA!G:G,INPUT_DATA!$A:$A,$B75,INPUT_DATA!$C:$C,"D"))</f>
        <v/>
      </c>
      <c r="BF75" s="311" t="str">
        <f>IF($B75=0,"",SUMIFS(INPUT_DATA!H:H,INPUT_DATA!$A:$A,$B75,INPUT_DATA!$C:$C,"D"))</f>
        <v/>
      </c>
      <c r="BG75" s="311" t="str">
        <f>IF($B75=0,"",SUMIFS(INPUT_DATA!I:I,INPUT_DATA!$A:$A,$B75,INPUT_DATA!$C:$C,"D"))</f>
        <v/>
      </c>
      <c r="BH75" s="311" t="str">
        <f>IF($B75=0,"",SUMIFS(INPUT_DATA!J:J,INPUT_DATA!$A:$A,$B75,INPUT_DATA!$C:$C,"D"))</f>
        <v/>
      </c>
      <c r="BI75" s="311" t="str">
        <f>IF($B75=0,"",SUMIFS(INPUT_DATA!K:K,INPUT_DATA!$A:$A,$B75,INPUT_DATA!$C:$C,"D"))</f>
        <v/>
      </c>
      <c r="BJ75" s="311" t="str">
        <f>IF($B75=0,"",SUMIFS(INPUT_DATA!L:L,INPUT_DATA!$A:$A,$B75,INPUT_DATA!$C:$C,"D"))</f>
        <v/>
      </c>
      <c r="BK75" s="311" t="str">
        <f>IF($B75=0,"",SUMIFS(INPUT_DATA!M:M,INPUT_DATA!$A:$A,$B75,INPUT_DATA!$C:$C,"D"))</f>
        <v/>
      </c>
      <c r="BL75" s="311" t="str">
        <f>IF($B75=0,"",SUMIFS(INPUT_DATA!N:N,INPUT_DATA!$A:$A,$B75,INPUT_DATA!$C:$C,"D"))</f>
        <v/>
      </c>
      <c r="BM75" s="311" t="str">
        <f>IF($B75=0,"",SUMIFS(INPUT_DATA!O:O,INPUT_DATA!$A:$A,$B75,INPUT_DATA!$C:$C,"D"))</f>
        <v/>
      </c>
      <c r="BN75" s="741" t="str">
        <f t="shared" si="18"/>
        <v/>
      </c>
      <c r="BO75" s="741" t="str">
        <f>IF($B75=0,"",SUMIFS(INPUT_DATA!O:O,INPUT_DATA!$A:$A,$B75,INPUT_DATA!$C:$C,"D"))</f>
        <v/>
      </c>
      <c r="BP75" s="741" t="str">
        <f t="shared" si="19"/>
        <v/>
      </c>
      <c r="BQ75" s="725" t="str">
        <f>IF($B75=0,"",SUMIFS(INPUT_DATA!Q:Q,INPUT_DATA!$A:$A,$B75,INPUT_DATA!$C:$C,"D"))</f>
        <v/>
      </c>
      <c r="BR75" s="747" t="str">
        <f>IF($B75=0,"",SUMIFS(INPUT_DATA!R:R,INPUT_DATA!$A:$A,$B75,INPUT_DATA!$C:$C,"D"))</f>
        <v/>
      </c>
      <c r="BS75" s="747" t="str">
        <f>IF($B75=0,"",SUMIFS(INPUT_DATA!S:S,INPUT_DATA!$A:$A,$B75,INPUT_DATA!$C:$C,"D"))</f>
        <v/>
      </c>
      <c r="BT75" s="311" t="str">
        <f>IF($B75=0,"",SUMIFS(INPUT_DATA!T:T,INPUT_DATA!$A:$A,$B75,INPUT_DATA!$C:$C,"D"))</f>
        <v/>
      </c>
      <c r="BU75" s="311" t="str">
        <f>IF($B75=0,"",SUMIFS(INPUT_DATA!U:U,INPUT_DATA!$A:$A,$B75,INPUT_DATA!$C:$C,"D"))</f>
        <v/>
      </c>
      <c r="BV75" s="311" t="str">
        <f>IF($B75=0,"",SUMIFS(INPUT_DATA!V:V,INPUT_DATA!$A:$A,$B75,INPUT_DATA!$C:$C,"D"))</f>
        <v/>
      </c>
      <c r="BW75" s="311" t="str">
        <f>IF($B75=0,"",SUMIFS(INPUT_DATA!W:W,INPUT_DATA!$A:$A,$B75,INPUT_DATA!$C:$C,"D"))</f>
        <v/>
      </c>
      <c r="BX75" s="311" t="str">
        <f>IF($B75=0,"",SUMIFS(INPUT_DATA!X:X,INPUT_DATA!$A:$A,$B75,INPUT_DATA!$C:$C,"D"))</f>
        <v/>
      </c>
      <c r="BY75" s="311" t="str">
        <f>IF($B75=0,"",SUMIFS(INPUT_DATA!Y:Y,INPUT_DATA!$A:$A,$B75,INPUT_DATA!$C:$C,"D"))</f>
        <v/>
      </c>
      <c r="BZ75" s="352" t="str">
        <f>IF($B75=0,"",SUMIFS(INPUT_DATA!Z:Z,INPUT_DATA!$A:$A,$B75,INPUT_DATA!$C:$C,"D"))</f>
        <v/>
      </c>
      <c r="CA75" s="352" t="str">
        <f>IF($B75=0,"",SUMIFS(INPUT_DATA!AA:AA,INPUT_DATA!$A:$A,$B75,INPUT_DATA!$C:$C,"D"))</f>
        <v/>
      </c>
      <c r="CB75" s="352" t="str">
        <f>IF($B75=0,"",SUMIFS(INPUT_DATA!AB:AB,INPUT_DATA!$A:$A,$B75,INPUT_DATA!$C:$C,"D"))</f>
        <v/>
      </c>
      <c r="CC75" s="311" t="str">
        <f>IF($B75=0,"",SUMIFS(INPUT_DATA!AC:AC,INPUT_DATA!$A:$A,$B75,INPUT_DATA!$C:$C,"D"))</f>
        <v/>
      </c>
      <c r="CD75" s="311" t="str">
        <f>IF($B75=0,"",SUMIFS(INPUT_DATA!AD:AD,INPUT_DATA!$A:$A,$B75,INPUT_DATA!$C:$C,"D"))</f>
        <v/>
      </c>
      <c r="CE75" s="311" t="str">
        <f>IF($B75=0,"",SUMIFS(INPUT_DATA!AE:AE,INPUT_DATA!$A:$A,$B75,INPUT_DATA!$C:$C,"D"))</f>
        <v/>
      </c>
      <c r="CF75" s="352" t="str">
        <f>IF($B75=0,"",SUMIFS(INPUT_DATA!AF:AF,INPUT_DATA!$A:$A,$B75,INPUT_DATA!$C:$C,"D"))</f>
        <v/>
      </c>
      <c r="CG75" s="352" t="str">
        <f>IF($B75=0,"",SUMIFS(INPUT_DATA!AG:AG,INPUT_DATA!$A:$A,$B75,INPUT_DATA!$C:$C,"D"))</f>
        <v/>
      </c>
      <c r="CH75" s="352" t="str">
        <f>IF($B75=0,"",SUMIFS(INPUT_DATA!AH:AH,INPUT_DATA!$A:$A,$B75,INPUT_DATA!$C:$C,"D"))</f>
        <v/>
      </c>
      <c r="CI75" s="153" t="str">
        <f>IF($B75=0,"",SUMIFS(INPUT_DATA!AI:AI,INPUT_DATA!$A:$A,$B75,INPUT_DATA!$C:$C,"D"))</f>
        <v/>
      </c>
      <c r="CJ75" s="153" t="str">
        <f>IF($B75=0,"",SUMIFS(INPUT_DATA!AJ:AJ,INPUT_DATA!$A:$A,$B75,INPUT_DATA!$C:$C,"D"))</f>
        <v/>
      </c>
      <c r="CK75" s="153" t="str">
        <f>IF($B75=0,"",SUMIFS(INPUT_DATA!AK:AK,INPUT_DATA!$A:$A,$B75,INPUT_DATA!$C:$C,"D"))</f>
        <v/>
      </c>
      <c r="CL75" s="153" t="str">
        <f>IF($B75=0,"",SUMIFS(INPUT_DATA!AL:AL,INPUT_DATA!$A:$A,$B75,INPUT_DATA!$C:$C,"D"))</f>
        <v/>
      </c>
      <c r="CM75" s="153" t="str">
        <f>IF($B75=0,"",SUMIFS(INPUT_DATA!AM:AM,INPUT_DATA!$A:$A,$B75,INPUT_DATA!$C:$C,"D"))</f>
        <v/>
      </c>
      <c r="CN75" s="153" t="str">
        <f>IF($B75=0,"",SUMIFS(INPUT_DATA!AN:AN,INPUT_DATA!$A:$A,$B75,INPUT_DATA!$C:$C,"D"))</f>
        <v/>
      </c>
      <c r="CO75" s="153" t="str">
        <f>IF($B75=0,"",SUMIFS(INPUT_DATA!AO:AO,INPUT_DATA!$A:$A,$B75,INPUT_DATA!$C:$C,"D"))</f>
        <v/>
      </c>
      <c r="CP75" s="153" t="str">
        <f>IF($B75=0,"",SUMIFS(INPUT_DATA!AP:AP,INPUT_DATA!$A:$A,$B75,INPUT_DATA!$C:$C,"D"))</f>
        <v/>
      </c>
      <c r="CQ75" s="153" t="str">
        <f>IF($B75=0,"",SUMIFS(INPUT_DATA!AQ:AQ,INPUT_DATA!$A:$A,$B75,INPUT_DATA!$C:$C,"D"))</f>
        <v/>
      </c>
      <c r="CR75" s="737" t="str">
        <f t="shared" si="32"/>
        <v/>
      </c>
      <c r="CS75" s="737" t="str">
        <f t="shared" si="33"/>
        <v/>
      </c>
      <c r="CT75" s="737" t="str">
        <f t="shared" si="34"/>
        <v/>
      </c>
      <c r="CU75" s="726" t="str">
        <f>IF($B75=0,"",SUMIFS(INPUT_DATA!AR:AR,INPUT_DATA!$A:$A,$B75,INPUT_DATA!$C:$C,"D"))</f>
        <v/>
      </c>
      <c r="CV75" s="726" t="str">
        <f>IF($B75=0,"",SUMIFS(INPUT_DATA!AS:AS,INPUT_DATA!$A:$A,$B75,INPUT_DATA!$C:$C,"D"))</f>
        <v/>
      </c>
      <c r="CW75" s="726" t="str">
        <f>IF($B75=0,"",SUMIFS(INPUT_DATA!AT:AT,INPUT_DATA!$A:$A,$B75,INPUT_DATA!$C:$C,"D"))</f>
        <v/>
      </c>
      <c r="CX75" s="726" t="str">
        <f t="shared" si="35"/>
        <v/>
      </c>
      <c r="CY75" s="737" t="str">
        <f t="shared" si="36"/>
        <v/>
      </c>
      <c r="CZ75" s="748" t="str">
        <f t="shared" si="37"/>
        <v/>
      </c>
      <c r="DA75" s="150"/>
    </row>
    <row r="76" spans="1:105" x14ac:dyDescent="0.2">
      <c r="A76" s="172">
        <f t="shared" si="40"/>
        <v>-29</v>
      </c>
      <c r="B76" s="720">
        <f>INPUT_DATA!BQ63</f>
        <v>0</v>
      </c>
      <c r="C76" s="725" t="str">
        <f>IF($B76=0,"",SUMIFS(INPUT_DATA!D:D,INPUT_DATA!$A:$A,$B76,INPUT_DATA!$C:$C,"S"))</f>
        <v/>
      </c>
      <c r="D76" s="726" t="str">
        <f>IF($B76=0,"",SUMIFS(INPUT_DATA!E:E,INPUT_DATA!$A:$A,$B76,INPUT_DATA!$C:$C,"S"))</f>
        <v/>
      </c>
      <c r="E76" s="727" t="str">
        <f>IF($B76=0,"",SUMIFS(INPUT_DATA!F:F,INPUT_DATA!$A:$A,$B76,INPUT_DATA!$C:$C,"S"))</f>
        <v/>
      </c>
      <c r="F76" s="727" t="str">
        <f>IF($B76=0,"",SUMIFS(INPUT_DATA!G:G,INPUT_DATA!$A:$A,$B76,INPUT_DATA!$C:$C,"S"))</f>
        <v/>
      </c>
      <c r="G76" s="727" t="str">
        <f>IF($B76=0,"",SUMIFS(INPUT_DATA!H:H,INPUT_DATA!$A:$A,$B76,INPUT_DATA!$C:$C,"S"))</f>
        <v/>
      </c>
      <c r="H76" s="727" t="str">
        <f>IF($B76=0,"",SUMIFS(INPUT_DATA!I:I,INPUT_DATA!$A:$A,$B76,INPUT_DATA!$C:$C,"S"))</f>
        <v/>
      </c>
      <c r="I76" s="727" t="str">
        <f>IF($B76=0,"",SUMIFS(INPUT_DATA!J:J,INPUT_DATA!$A:$A,$B76,INPUT_DATA!$C:$C,"S"))</f>
        <v/>
      </c>
      <c r="J76" s="727" t="str">
        <f>IF($B76=0,"",SUMIFS(INPUT_DATA!K:K,INPUT_DATA!$A:$A,$B76,INPUT_DATA!$C:$C,"S"))</f>
        <v/>
      </c>
      <c r="K76" s="727" t="str">
        <f>IF($B76=0,"",SUMIFS(INPUT_DATA!L:L,INPUT_DATA!$A:$A,$B76,INPUT_DATA!$C:$C,"S"))</f>
        <v/>
      </c>
      <c r="L76" s="727" t="str">
        <f>IF($B76=0,"",SUMIFS(INPUT_DATA!M:M,INPUT_DATA!$A:$A,$B76,INPUT_DATA!$C:$C,"S"))</f>
        <v/>
      </c>
      <c r="M76" s="727" t="str">
        <f>IF($B76=0,"",SUMIFS(INPUT_DATA!N:N,INPUT_DATA!$A:$A,$B76,INPUT_DATA!$C:$C,"S"))</f>
        <v/>
      </c>
      <c r="N76" s="727" t="str">
        <f>IF($B76=0,"",SUMIFS(INPUT_DATA!O:O,INPUT_DATA!$A:$A,$B76,INPUT_DATA!$C:$C,"S"))</f>
        <v/>
      </c>
      <c r="O76" s="728" t="str">
        <f t="shared" si="38"/>
        <v/>
      </c>
      <c r="P76" s="729" t="str">
        <f>IF($B76=0,"",SUMIFS(INPUT_DATA!P:P,INPUT_DATA!$A:$A,$B76,INPUT_DATA!$C:$C,"S"))</f>
        <v/>
      </c>
      <c r="Q76" s="729" t="str">
        <f t="shared" si="39"/>
        <v/>
      </c>
      <c r="R76" s="735" t="str">
        <f>IF($B76=0,"",SUMIFS(INPUT_DATA!Q:Q,INPUT_DATA!$A:$A,$B76,INPUT_DATA!$C:$C,"S"))</f>
        <v/>
      </c>
      <c r="S76" s="735" t="str">
        <f>IF($B76=0,"",SUMIFS(INPUT_DATA!R:R,INPUT_DATA!$A:$A,$B76,INPUT_DATA!$C:$C,"S"))</f>
        <v/>
      </c>
      <c r="T76" s="735" t="str">
        <f>IF($B76=0,"",SUMIFS(INPUT_DATA!S:S,INPUT_DATA!$A:$A,$B76,INPUT_DATA!$C:$C,"S"))</f>
        <v/>
      </c>
      <c r="U76" s="312" t="str">
        <f>IF($B76=0,"",SUMIFS(INPUT_DATA!T:T,INPUT_DATA!$A:$A,$B76,INPUT_DATA!$C:$C,"S"))</f>
        <v/>
      </c>
      <c r="V76" s="312" t="str">
        <f>IF($B76=0,"",SUMIFS(INPUT_DATA!U:U,INPUT_DATA!$A:$A,$B76,INPUT_DATA!$C:$C,"S"))</f>
        <v/>
      </c>
      <c r="W76" s="312" t="str">
        <f>IF($B76=0,"",SUMIFS(INPUT_DATA!V:V,INPUT_DATA!$A:$A,$B76,INPUT_DATA!$C:$C,"S"))</f>
        <v/>
      </c>
      <c r="X76" s="312" t="str">
        <f>IF($B76=0,"",SUMIFS(INPUT_DATA!W:W,INPUT_DATA!$A:$A,$B76,INPUT_DATA!$C:$C,"S"))</f>
        <v/>
      </c>
      <c r="Y76" s="312" t="str">
        <f>IF($B76=0,"",SUMIFS(INPUT_DATA!X:X,INPUT_DATA!$A:$A,$B76,INPUT_DATA!$C:$C,"S"))</f>
        <v/>
      </c>
      <c r="Z76" s="312" t="str">
        <f>IF($B76=0,"",SUMIFS(INPUT_DATA!Y:Y,INPUT_DATA!$A:$A,$B76,INPUT_DATA!$C:$C,"S"))</f>
        <v/>
      </c>
      <c r="AA76" s="312" t="str">
        <f>IF($B76=0,"",SUMIFS(INPUT_DATA!Z:Z,INPUT_DATA!$A:$A,$B76,INPUT_DATA!$C:$C,"S"))</f>
        <v/>
      </c>
      <c r="AB76" s="312" t="str">
        <f>IF($B76=0,"",SUMIFS(INPUT_DATA!AA:AA,INPUT_DATA!$A:$A,$B76,INPUT_DATA!$C:$C,"S"))</f>
        <v/>
      </c>
      <c r="AC76" s="312" t="str">
        <f>IF($B76=0,"",SUMIFS(INPUT_DATA!AB:AB,INPUT_DATA!$A:$A,$B76,INPUT_DATA!$C:$C,"S"))</f>
        <v/>
      </c>
      <c r="AD76" s="312" t="str">
        <f>IF($B76=0,"",SUMIFS(INPUT_DATA!AC:AC,INPUT_DATA!$A:$A,$B76,INPUT_DATA!$C:$C,"S"))</f>
        <v/>
      </c>
      <c r="AE76" s="312" t="str">
        <f>IF($B76=0,"",SUMIFS(INPUT_DATA!AD:AD,INPUT_DATA!$A:$A,$B76,INPUT_DATA!$C:$C,"S"))</f>
        <v/>
      </c>
      <c r="AF76" s="312" t="str">
        <f>IF($B76=0,"",SUMIFS(INPUT_DATA!AE:AE,INPUT_DATA!$A:$A,$B76,INPUT_DATA!$C:$C,"S"))</f>
        <v/>
      </c>
      <c r="AG76" s="312" t="str">
        <f>IF($B76=0,"",SUMIFS(INPUT_DATA!AF:AF,INPUT_DATA!$A:$A,$B76,INPUT_DATA!$C:$C,"S"))</f>
        <v/>
      </c>
      <c r="AH76" s="312" t="str">
        <f>IF($B76=0,"",SUMIFS(INPUT_DATA!AG:AG,INPUT_DATA!$A:$A,$B76,INPUT_DATA!$C:$C,"S"))</f>
        <v/>
      </c>
      <c r="AI76" s="312" t="str">
        <f>IF($B76=0,"",SUMIFS(INPUT_DATA!AH:AH,INPUT_DATA!$A:$A,$B76,INPUT_DATA!$C:$C,"S"))</f>
        <v/>
      </c>
      <c r="AJ76" s="312" t="str">
        <f>IF($B76=0,"",SUMIFS(INPUT_DATA!AI:AI,INPUT_DATA!$A:$A,$B76,INPUT_DATA!$C:$C,"S"))</f>
        <v/>
      </c>
      <c r="AK76" s="312" t="str">
        <f>IF($B76=0,"",SUMIFS(INPUT_DATA!AJ:AJ,INPUT_DATA!$A:$A,$B76,INPUT_DATA!$C:$C,"S"))</f>
        <v/>
      </c>
      <c r="AL76" s="312" t="str">
        <f>IF($B76=0,"",SUMIFS(INPUT_DATA!AK:AK,INPUT_DATA!$A:$A,$B76,INPUT_DATA!$C:$C,"S"))</f>
        <v/>
      </c>
      <c r="AM76" s="312" t="str">
        <f>IF($B76=0,"",SUMIFS(INPUT_DATA!AL:AL,INPUT_DATA!$A:$A,$B76,INPUT_DATA!$C:$C,"S"))</f>
        <v/>
      </c>
      <c r="AN76" s="312" t="str">
        <f>IF($B76=0,"",SUMIFS(INPUT_DATA!AM:AM,INPUT_DATA!$A:$A,$B76,INPUT_DATA!$C:$C,"S"))</f>
        <v/>
      </c>
      <c r="AO76" s="312" t="str">
        <f>IF($B76=0,"",SUMIFS(INPUT_DATA!AN:AN,INPUT_DATA!$A:$A,$B76,INPUT_DATA!$C:$C,"S"))</f>
        <v/>
      </c>
      <c r="AP76" s="312" t="str">
        <f>IF($B76=0,"",SUMIFS(INPUT_DATA!AO:AO,INPUT_DATA!$A:$A,$B76,INPUT_DATA!$C:$C,"S"))</f>
        <v/>
      </c>
      <c r="AQ76" s="312" t="str">
        <f>IF($B76=0,"",SUMIFS(INPUT_DATA!AP:AP,INPUT_DATA!$A:$A,$B76,INPUT_DATA!$C:$C,"S"))</f>
        <v/>
      </c>
      <c r="AR76" s="312" t="str">
        <f>IF($B76=0,"",SUMIFS(INPUT_DATA!AQ:AQ,INPUT_DATA!$A:$A,$B76,INPUT_DATA!$C:$C,"S"))</f>
        <v/>
      </c>
      <c r="AS76" s="736" t="str">
        <f t="shared" si="29"/>
        <v/>
      </c>
      <c r="AT76" s="737" t="str">
        <f t="shared" si="30"/>
        <v/>
      </c>
      <c r="AU76" s="738" t="str">
        <f t="shared" si="31"/>
        <v/>
      </c>
      <c r="AV76" s="736" t="str">
        <f>IF($B76=0,"",SUMIFS(INPUT_DATA!AR:AR,INPUT_DATA!$A:$A,$B76,INPUT_DATA!$C:$C,"S"))</f>
        <v/>
      </c>
      <c r="AW76" s="737" t="str">
        <f>IF($B76=0,"",SUMIFS(INPUT_DATA!AS:AS,INPUT_DATA!$A:$A,$B76,INPUT_DATA!$C:$C,"S"))</f>
        <v/>
      </c>
      <c r="AX76" s="738" t="str">
        <f>IF($B76=0,"",SUMIFS(INPUT_DATA!AT:AT,INPUT_DATA!$A:$A,$B76,INPUT_DATA!$C:$C,"S"))</f>
        <v/>
      </c>
      <c r="AY76" s="736" t="str">
        <f t="shared" si="15"/>
        <v/>
      </c>
      <c r="AZ76" s="737" t="str">
        <f t="shared" si="16"/>
        <v/>
      </c>
      <c r="BA76" s="738" t="str">
        <f t="shared" si="17"/>
        <v/>
      </c>
      <c r="BB76" s="150"/>
      <c r="BC76" s="725" t="str">
        <f>IF($B76=0,"",SUMIFS(INPUT_DATA!D:D,INPUT_DATA!$A:$A,$B76,INPUT_DATA!$C:$C,"D"))</f>
        <v/>
      </c>
      <c r="BD76" s="311" t="str">
        <f>IF($B76=0,"",SUMIFS(INPUT_DATA!F:F,INPUT_DATA!$A:$A,$B76,INPUT_DATA!$C:$C,"D"))</f>
        <v/>
      </c>
      <c r="BE76" s="311" t="str">
        <f>IF($B76=0,"",SUMIFS(INPUT_DATA!G:G,INPUT_DATA!$A:$A,$B76,INPUT_DATA!$C:$C,"D"))</f>
        <v/>
      </c>
      <c r="BF76" s="311" t="str">
        <f>IF($B76=0,"",SUMIFS(INPUT_DATA!H:H,INPUT_DATA!$A:$A,$B76,INPUT_DATA!$C:$C,"D"))</f>
        <v/>
      </c>
      <c r="BG76" s="311" t="str">
        <f>IF($B76=0,"",SUMIFS(INPUT_DATA!I:I,INPUT_DATA!$A:$A,$B76,INPUT_DATA!$C:$C,"D"))</f>
        <v/>
      </c>
      <c r="BH76" s="311" t="str">
        <f>IF($B76=0,"",SUMIFS(INPUT_DATA!J:J,INPUT_DATA!$A:$A,$B76,INPUT_DATA!$C:$C,"D"))</f>
        <v/>
      </c>
      <c r="BI76" s="311" t="str">
        <f>IF($B76=0,"",SUMIFS(INPUT_DATA!K:K,INPUT_DATA!$A:$A,$B76,INPUT_DATA!$C:$C,"D"))</f>
        <v/>
      </c>
      <c r="BJ76" s="311" t="str">
        <f>IF($B76=0,"",SUMIFS(INPUT_DATA!L:L,INPUT_DATA!$A:$A,$B76,INPUT_DATA!$C:$C,"D"))</f>
        <v/>
      </c>
      <c r="BK76" s="311" t="str">
        <f>IF($B76=0,"",SUMIFS(INPUT_DATA!M:M,INPUT_DATA!$A:$A,$B76,INPUT_DATA!$C:$C,"D"))</f>
        <v/>
      </c>
      <c r="BL76" s="311" t="str">
        <f>IF($B76=0,"",SUMIFS(INPUT_DATA!N:N,INPUT_DATA!$A:$A,$B76,INPUT_DATA!$C:$C,"D"))</f>
        <v/>
      </c>
      <c r="BM76" s="311" t="str">
        <f>IF($B76=0,"",SUMIFS(INPUT_DATA!O:O,INPUT_DATA!$A:$A,$B76,INPUT_DATA!$C:$C,"D"))</f>
        <v/>
      </c>
      <c r="BN76" s="741" t="str">
        <f t="shared" si="18"/>
        <v/>
      </c>
      <c r="BO76" s="741" t="str">
        <f>IF($B76=0,"",SUMIFS(INPUT_DATA!O:O,INPUT_DATA!$A:$A,$B76,INPUT_DATA!$C:$C,"D"))</f>
        <v/>
      </c>
      <c r="BP76" s="741" t="str">
        <f t="shared" si="19"/>
        <v/>
      </c>
      <c r="BQ76" s="725" t="str">
        <f>IF($B76=0,"",SUMIFS(INPUT_DATA!Q:Q,INPUT_DATA!$A:$A,$B76,INPUT_DATA!$C:$C,"D"))</f>
        <v/>
      </c>
      <c r="BR76" s="747" t="str">
        <f>IF($B76=0,"",SUMIFS(INPUT_DATA!R:R,INPUT_DATA!$A:$A,$B76,INPUT_DATA!$C:$C,"D"))</f>
        <v/>
      </c>
      <c r="BS76" s="747" t="str">
        <f>IF($B76=0,"",SUMIFS(INPUT_DATA!S:S,INPUT_DATA!$A:$A,$B76,INPUT_DATA!$C:$C,"D"))</f>
        <v/>
      </c>
      <c r="BT76" s="311" t="str">
        <f>IF($B76=0,"",SUMIFS(INPUT_DATA!T:T,INPUT_DATA!$A:$A,$B76,INPUT_DATA!$C:$C,"D"))</f>
        <v/>
      </c>
      <c r="BU76" s="311" t="str">
        <f>IF($B76=0,"",SUMIFS(INPUT_DATA!U:U,INPUT_DATA!$A:$A,$B76,INPUT_DATA!$C:$C,"D"))</f>
        <v/>
      </c>
      <c r="BV76" s="311" t="str">
        <f>IF($B76=0,"",SUMIFS(INPUT_DATA!V:V,INPUT_DATA!$A:$A,$B76,INPUT_DATA!$C:$C,"D"))</f>
        <v/>
      </c>
      <c r="BW76" s="311" t="str">
        <f>IF($B76=0,"",SUMIFS(INPUT_DATA!W:W,INPUT_DATA!$A:$A,$B76,INPUT_DATA!$C:$C,"D"))</f>
        <v/>
      </c>
      <c r="BX76" s="311" t="str">
        <f>IF($B76=0,"",SUMIFS(INPUT_DATA!X:X,INPUT_DATA!$A:$A,$B76,INPUT_DATA!$C:$C,"D"))</f>
        <v/>
      </c>
      <c r="BY76" s="311" t="str">
        <f>IF($B76=0,"",SUMIFS(INPUT_DATA!Y:Y,INPUT_DATA!$A:$A,$B76,INPUT_DATA!$C:$C,"D"))</f>
        <v/>
      </c>
      <c r="BZ76" s="352" t="str">
        <f>IF($B76=0,"",SUMIFS(INPUT_DATA!Z:Z,INPUT_DATA!$A:$A,$B76,INPUT_DATA!$C:$C,"D"))</f>
        <v/>
      </c>
      <c r="CA76" s="352" t="str">
        <f>IF($B76=0,"",SUMIFS(INPUT_DATA!AA:AA,INPUT_DATA!$A:$A,$B76,INPUT_DATA!$C:$C,"D"))</f>
        <v/>
      </c>
      <c r="CB76" s="352" t="str">
        <f>IF($B76=0,"",SUMIFS(INPUT_DATA!AB:AB,INPUT_DATA!$A:$A,$B76,INPUT_DATA!$C:$C,"D"))</f>
        <v/>
      </c>
      <c r="CC76" s="311" t="str">
        <f>IF($B76=0,"",SUMIFS(INPUT_DATA!AC:AC,INPUT_DATA!$A:$A,$B76,INPUT_DATA!$C:$C,"D"))</f>
        <v/>
      </c>
      <c r="CD76" s="311" t="str">
        <f>IF($B76=0,"",SUMIFS(INPUT_DATA!AD:AD,INPUT_DATA!$A:$A,$B76,INPUT_DATA!$C:$C,"D"))</f>
        <v/>
      </c>
      <c r="CE76" s="311" t="str">
        <f>IF($B76=0,"",SUMIFS(INPUT_DATA!AE:AE,INPUT_DATA!$A:$A,$B76,INPUT_DATA!$C:$C,"D"))</f>
        <v/>
      </c>
      <c r="CF76" s="352" t="str">
        <f>IF($B76=0,"",SUMIFS(INPUT_DATA!AF:AF,INPUT_DATA!$A:$A,$B76,INPUT_DATA!$C:$C,"D"))</f>
        <v/>
      </c>
      <c r="CG76" s="352" t="str">
        <f>IF($B76=0,"",SUMIFS(INPUT_DATA!AG:AG,INPUT_DATA!$A:$A,$B76,INPUT_DATA!$C:$C,"D"))</f>
        <v/>
      </c>
      <c r="CH76" s="352" t="str">
        <f>IF($B76=0,"",SUMIFS(INPUT_DATA!AH:AH,INPUT_DATA!$A:$A,$B76,INPUT_DATA!$C:$C,"D"))</f>
        <v/>
      </c>
      <c r="CI76" s="153" t="str">
        <f>IF($B76=0,"",SUMIFS(INPUT_DATA!AI:AI,INPUT_DATA!$A:$A,$B76,INPUT_DATA!$C:$C,"D"))</f>
        <v/>
      </c>
      <c r="CJ76" s="153" t="str">
        <f>IF($B76=0,"",SUMIFS(INPUT_DATA!AJ:AJ,INPUT_DATA!$A:$A,$B76,INPUT_DATA!$C:$C,"D"))</f>
        <v/>
      </c>
      <c r="CK76" s="153" t="str">
        <f>IF($B76=0,"",SUMIFS(INPUT_DATA!AK:AK,INPUT_DATA!$A:$A,$B76,INPUT_DATA!$C:$C,"D"))</f>
        <v/>
      </c>
      <c r="CL76" s="153" t="str">
        <f>IF($B76=0,"",SUMIFS(INPUT_DATA!AL:AL,INPUT_DATA!$A:$A,$B76,INPUT_DATA!$C:$C,"D"))</f>
        <v/>
      </c>
      <c r="CM76" s="153" t="str">
        <f>IF($B76=0,"",SUMIFS(INPUT_DATA!AM:AM,INPUT_DATA!$A:$A,$B76,INPUT_DATA!$C:$C,"D"))</f>
        <v/>
      </c>
      <c r="CN76" s="153" t="str">
        <f>IF($B76=0,"",SUMIFS(INPUT_DATA!AN:AN,INPUT_DATA!$A:$A,$B76,INPUT_DATA!$C:$C,"D"))</f>
        <v/>
      </c>
      <c r="CO76" s="153" t="str">
        <f>IF($B76=0,"",SUMIFS(INPUT_DATA!AO:AO,INPUT_DATA!$A:$A,$B76,INPUT_DATA!$C:$C,"D"))</f>
        <v/>
      </c>
      <c r="CP76" s="153" t="str">
        <f>IF($B76=0,"",SUMIFS(INPUT_DATA!AP:AP,INPUT_DATA!$A:$A,$B76,INPUT_DATA!$C:$C,"D"))</f>
        <v/>
      </c>
      <c r="CQ76" s="153" t="str">
        <f>IF($B76=0,"",SUMIFS(INPUT_DATA!AQ:AQ,INPUT_DATA!$A:$A,$B76,INPUT_DATA!$C:$C,"D"))</f>
        <v/>
      </c>
      <c r="CR76" s="737" t="str">
        <f t="shared" si="32"/>
        <v/>
      </c>
      <c r="CS76" s="737" t="str">
        <f t="shared" si="33"/>
        <v/>
      </c>
      <c r="CT76" s="737" t="str">
        <f t="shared" si="34"/>
        <v/>
      </c>
      <c r="CU76" s="726" t="str">
        <f>IF($B76=0,"",SUMIFS(INPUT_DATA!AR:AR,INPUT_DATA!$A:$A,$B76,INPUT_DATA!$C:$C,"D"))</f>
        <v/>
      </c>
      <c r="CV76" s="726" t="str">
        <f>IF($B76=0,"",SUMIFS(INPUT_DATA!AS:AS,INPUT_DATA!$A:$A,$B76,INPUT_DATA!$C:$C,"D"))</f>
        <v/>
      </c>
      <c r="CW76" s="726" t="str">
        <f>IF($B76=0,"",SUMIFS(INPUT_DATA!AT:AT,INPUT_DATA!$A:$A,$B76,INPUT_DATA!$C:$C,"D"))</f>
        <v/>
      </c>
      <c r="CX76" s="726" t="str">
        <f t="shared" si="35"/>
        <v/>
      </c>
      <c r="CY76" s="737" t="str">
        <f t="shared" si="36"/>
        <v/>
      </c>
      <c r="CZ76" s="748" t="str">
        <f t="shared" si="37"/>
        <v/>
      </c>
      <c r="DA76" s="150"/>
    </row>
    <row r="77" spans="1:105" x14ac:dyDescent="0.2">
      <c r="A77" s="172">
        <f t="shared" si="40"/>
        <v>-30</v>
      </c>
      <c r="B77" s="720">
        <f>INPUT_DATA!BQ64</f>
        <v>0</v>
      </c>
      <c r="C77" s="725" t="str">
        <f>IF($B77=0,"",SUMIFS(INPUT_DATA!D:D,INPUT_DATA!$A:$A,$B77,INPUT_DATA!$C:$C,"S"))</f>
        <v/>
      </c>
      <c r="D77" s="726" t="str">
        <f>IF($B77=0,"",SUMIFS(INPUT_DATA!E:E,INPUT_DATA!$A:$A,$B77,INPUT_DATA!$C:$C,"S"))</f>
        <v/>
      </c>
      <c r="E77" s="727" t="str">
        <f>IF($B77=0,"",SUMIFS(INPUT_DATA!F:F,INPUT_DATA!$A:$A,$B77,INPUT_DATA!$C:$C,"S"))</f>
        <v/>
      </c>
      <c r="F77" s="727" t="str">
        <f>IF($B77=0,"",SUMIFS(INPUT_DATA!G:G,INPUT_DATA!$A:$A,$B77,INPUT_DATA!$C:$C,"S"))</f>
        <v/>
      </c>
      <c r="G77" s="727" t="str">
        <f>IF($B77=0,"",SUMIFS(INPUT_DATA!H:H,INPUT_DATA!$A:$A,$B77,INPUT_DATA!$C:$C,"S"))</f>
        <v/>
      </c>
      <c r="H77" s="727" t="str">
        <f>IF($B77=0,"",SUMIFS(INPUT_DATA!I:I,INPUT_DATA!$A:$A,$B77,INPUT_DATA!$C:$C,"S"))</f>
        <v/>
      </c>
      <c r="I77" s="727" t="str">
        <f>IF($B77=0,"",SUMIFS(INPUT_DATA!J:J,INPUT_DATA!$A:$A,$B77,INPUT_DATA!$C:$C,"S"))</f>
        <v/>
      </c>
      <c r="J77" s="727" t="str">
        <f>IF($B77=0,"",SUMIFS(INPUT_DATA!K:K,INPUT_DATA!$A:$A,$B77,INPUT_DATA!$C:$C,"S"))</f>
        <v/>
      </c>
      <c r="K77" s="727" t="str">
        <f>IF($B77=0,"",SUMIFS(INPUT_DATA!L:L,INPUT_DATA!$A:$A,$B77,INPUT_DATA!$C:$C,"S"))</f>
        <v/>
      </c>
      <c r="L77" s="727" t="str">
        <f>IF($B77=0,"",SUMIFS(INPUT_DATA!M:M,INPUT_DATA!$A:$A,$B77,INPUT_DATA!$C:$C,"S"))</f>
        <v/>
      </c>
      <c r="M77" s="727" t="str">
        <f>IF($B77=0,"",SUMIFS(INPUT_DATA!N:N,INPUT_DATA!$A:$A,$B77,INPUT_DATA!$C:$C,"S"))</f>
        <v/>
      </c>
      <c r="N77" s="727" t="str">
        <f>IF($B77=0,"",SUMIFS(INPUT_DATA!O:O,INPUT_DATA!$A:$A,$B77,INPUT_DATA!$C:$C,"S"))</f>
        <v/>
      </c>
      <c r="O77" s="728" t="str">
        <f t="shared" si="38"/>
        <v/>
      </c>
      <c r="P77" s="729" t="str">
        <f>IF($B77=0,"",SUMIFS(INPUT_DATA!P:P,INPUT_DATA!$A:$A,$B77,INPUT_DATA!$C:$C,"S"))</f>
        <v/>
      </c>
      <c r="Q77" s="729" t="str">
        <f t="shared" si="39"/>
        <v/>
      </c>
      <c r="R77" s="735" t="str">
        <f>IF($B77=0,"",SUMIFS(INPUT_DATA!Q:Q,INPUT_DATA!$A:$A,$B77,INPUT_DATA!$C:$C,"S"))</f>
        <v/>
      </c>
      <c r="S77" s="735" t="str">
        <f>IF($B77=0,"",SUMIFS(INPUT_DATA!R:R,INPUT_DATA!$A:$A,$B77,INPUT_DATA!$C:$C,"S"))</f>
        <v/>
      </c>
      <c r="T77" s="735" t="str">
        <f>IF($B77=0,"",SUMIFS(INPUT_DATA!S:S,INPUT_DATA!$A:$A,$B77,INPUT_DATA!$C:$C,"S"))</f>
        <v/>
      </c>
      <c r="U77" s="312" t="str">
        <f>IF($B77=0,"",SUMIFS(INPUT_DATA!T:T,INPUT_DATA!$A:$A,$B77,INPUT_DATA!$C:$C,"S"))</f>
        <v/>
      </c>
      <c r="V77" s="312" t="str">
        <f>IF($B77=0,"",SUMIFS(INPUT_DATA!U:U,INPUT_DATA!$A:$A,$B77,INPUT_DATA!$C:$C,"S"))</f>
        <v/>
      </c>
      <c r="W77" s="312" t="str">
        <f>IF($B77=0,"",SUMIFS(INPUT_DATA!V:V,INPUT_DATA!$A:$A,$B77,INPUT_DATA!$C:$C,"S"))</f>
        <v/>
      </c>
      <c r="X77" s="312" t="str">
        <f>IF($B77=0,"",SUMIFS(INPUT_DATA!W:W,INPUT_DATA!$A:$A,$B77,INPUT_DATA!$C:$C,"S"))</f>
        <v/>
      </c>
      <c r="Y77" s="312" t="str">
        <f>IF($B77=0,"",SUMIFS(INPUT_DATA!X:X,INPUT_DATA!$A:$A,$B77,INPUT_DATA!$C:$C,"S"))</f>
        <v/>
      </c>
      <c r="Z77" s="312" t="str">
        <f>IF($B77=0,"",SUMIFS(INPUT_DATA!Y:Y,INPUT_DATA!$A:$A,$B77,INPUT_DATA!$C:$C,"S"))</f>
        <v/>
      </c>
      <c r="AA77" s="312" t="str">
        <f>IF($B77=0,"",SUMIFS(INPUT_DATA!Z:Z,INPUT_DATA!$A:$A,$B77,INPUT_DATA!$C:$C,"S"))</f>
        <v/>
      </c>
      <c r="AB77" s="312" t="str">
        <f>IF($B77=0,"",SUMIFS(INPUT_DATA!AA:AA,INPUT_DATA!$A:$A,$B77,INPUT_DATA!$C:$C,"S"))</f>
        <v/>
      </c>
      <c r="AC77" s="312" t="str">
        <f>IF($B77=0,"",SUMIFS(INPUT_DATA!AB:AB,INPUT_DATA!$A:$A,$B77,INPUT_DATA!$C:$C,"S"))</f>
        <v/>
      </c>
      <c r="AD77" s="312" t="str">
        <f>IF($B77=0,"",SUMIFS(INPUT_DATA!AC:AC,INPUT_DATA!$A:$A,$B77,INPUT_DATA!$C:$C,"S"))</f>
        <v/>
      </c>
      <c r="AE77" s="312" t="str">
        <f>IF($B77=0,"",SUMIFS(INPUT_DATA!AD:AD,INPUT_DATA!$A:$A,$B77,INPUT_DATA!$C:$C,"S"))</f>
        <v/>
      </c>
      <c r="AF77" s="312" t="str">
        <f>IF($B77=0,"",SUMIFS(INPUT_DATA!AE:AE,INPUT_DATA!$A:$A,$B77,INPUT_DATA!$C:$C,"S"))</f>
        <v/>
      </c>
      <c r="AG77" s="312" t="str">
        <f>IF($B77=0,"",SUMIFS(INPUT_DATA!AF:AF,INPUT_DATA!$A:$A,$B77,INPUT_DATA!$C:$C,"S"))</f>
        <v/>
      </c>
      <c r="AH77" s="312" t="str">
        <f>IF($B77=0,"",SUMIFS(INPUT_DATA!AG:AG,INPUT_DATA!$A:$A,$B77,INPUT_DATA!$C:$C,"S"))</f>
        <v/>
      </c>
      <c r="AI77" s="312" t="str">
        <f>IF($B77=0,"",SUMIFS(INPUT_DATA!AH:AH,INPUT_DATA!$A:$A,$B77,INPUT_DATA!$C:$C,"S"))</f>
        <v/>
      </c>
      <c r="AJ77" s="312" t="str">
        <f>IF($B77=0,"",SUMIFS(INPUT_DATA!AI:AI,INPUT_DATA!$A:$A,$B77,INPUT_DATA!$C:$C,"S"))</f>
        <v/>
      </c>
      <c r="AK77" s="312" t="str">
        <f>IF($B77=0,"",SUMIFS(INPUT_DATA!AJ:AJ,INPUT_DATA!$A:$A,$B77,INPUT_DATA!$C:$C,"S"))</f>
        <v/>
      </c>
      <c r="AL77" s="312" t="str">
        <f>IF($B77=0,"",SUMIFS(INPUT_DATA!AK:AK,INPUT_DATA!$A:$A,$B77,INPUT_DATA!$C:$C,"S"))</f>
        <v/>
      </c>
      <c r="AM77" s="312" t="str">
        <f>IF($B77=0,"",SUMIFS(INPUT_DATA!AL:AL,INPUT_DATA!$A:$A,$B77,INPUT_DATA!$C:$C,"S"))</f>
        <v/>
      </c>
      <c r="AN77" s="312" t="str">
        <f>IF($B77=0,"",SUMIFS(INPUT_DATA!AM:AM,INPUT_DATA!$A:$A,$B77,INPUT_DATA!$C:$C,"S"))</f>
        <v/>
      </c>
      <c r="AO77" s="312" t="str">
        <f>IF($B77=0,"",SUMIFS(INPUT_DATA!AN:AN,INPUT_DATA!$A:$A,$B77,INPUT_DATA!$C:$C,"S"))</f>
        <v/>
      </c>
      <c r="AP77" s="312" t="str">
        <f>IF($B77=0,"",SUMIFS(INPUT_DATA!AO:AO,INPUT_DATA!$A:$A,$B77,INPUT_DATA!$C:$C,"S"))</f>
        <v/>
      </c>
      <c r="AQ77" s="312" t="str">
        <f>IF($B77=0,"",SUMIFS(INPUT_DATA!AP:AP,INPUT_DATA!$A:$A,$B77,INPUT_DATA!$C:$C,"S"))</f>
        <v/>
      </c>
      <c r="AR77" s="312" t="str">
        <f>IF($B77=0,"",SUMIFS(INPUT_DATA!AQ:AQ,INPUT_DATA!$A:$A,$B77,INPUT_DATA!$C:$C,"S"))</f>
        <v/>
      </c>
      <c r="AS77" s="736" t="str">
        <f t="shared" si="29"/>
        <v/>
      </c>
      <c r="AT77" s="737" t="str">
        <f t="shared" si="30"/>
        <v/>
      </c>
      <c r="AU77" s="738" t="str">
        <f t="shared" si="31"/>
        <v/>
      </c>
      <c r="AV77" s="736" t="str">
        <f>IF($B77=0,"",SUMIFS(INPUT_DATA!AR:AR,INPUT_DATA!$A:$A,$B77,INPUT_DATA!$C:$C,"S"))</f>
        <v/>
      </c>
      <c r="AW77" s="737" t="str">
        <f>IF($B77=0,"",SUMIFS(INPUT_DATA!AS:AS,INPUT_DATA!$A:$A,$B77,INPUT_DATA!$C:$C,"S"))</f>
        <v/>
      </c>
      <c r="AX77" s="738" t="str">
        <f>IF($B77=0,"",SUMIFS(INPUT_DATA!AT:AT,INPUT_DATA!$A:$A,$B77,INPUT_DATA!$C:$C,"S"))</f>
        <v/>
      </c>
      <c r="AY77" s="736" t="str">
        <f t="shared" si="15"/>
        <v/>
      </c>
      <c r="AZ77" s="737" t="str">
        <f t="shared" si="16"/>
        <v/>
      </c>
      <c r="BA77" s="738" t="str">
        <f t="shared" si="17"/>
        <v/>
      </c>
      <c r="BB77" s="150"/>
      <c r="BC77" s="725" t="str">
        <f>IF($B77=0,"",SUMIFS(INPUT_DATA!D:D,INPUT_DATA!$A:$A,$B77,INPUT_DATA!$C:$C,"D"))</f>
        <v/>
      </c>
      <c r="BD77" s="311" t="str">
        <f>IF($B77=0,"",SUMIFS(INPUT_DATA!F:F,INPUT_DATA!$A:$A,$B77,INPUT_DATA!$C:$C,"D"))</f>
        <v/>
      </c>
      <c r="BE77" s="311" t="str">
        <f>IF($B77=0,"",SUMIFS(INPUT_DATA!G:G,INPUT_DATA!$A:$A,$B77,INPUT_DATA!$C:$C,"D"))</f>
        <v/>
      </c>
      <c r="BF77" s="311" t="str">
        <f>IF($B77=0,"",SUMIFS(INPUT_DATA!H:H,INPUT_DATA!$A:$A,$B77,INPUT_DATA!$C:$C,"D"))</f>
        <v/>
      </c>
      <c r="BG77" s="311" t="str">
        <f>IF($B77=0,"",SUMIFS(INPUT_DATA!I:I,INPUT_DATA!$A:$A,$B77,INPUT_DATA!$C:$C,"D"))</f>
        <v/>
      </c>
      <c r="BH77" s="311" t="str">
        <f>IF($B77=0,"",SUMIFS(INPUT_DATA!J:J,INPUT_DATA!$A:$A,$B77,INPUT_DATA!$C:$C,"D"))</f>
        <v/>
      </c>
      <c r="BI77" s="311" t="str">
        <f>IF($B77=0,"",SUMIFS(INPUT_DATA!K:K,INPUT_DATA!$A:$A,$B77,INPUT_DATA!$C:$C,"D"))</f>
        <v/>
      </c>
      <c r="BJ77" s="311" t="str">
        <f>IF($B77=0,"",SUMIFS(INPUT_DATA!L:L,INPUT_DATA!$A:$A,$B77,INPUT_DATA!$C:$C,"D"))</f>
        <v/>
      </c>
      <c r="BK77" s="311" t="str">
        <f>IF($B77=0,"",SUMIFS(INPUT_DATA!M:M,INPUT_DATA!$A:$A,$B77,INPUT_DATA!$C:$C,"D"))</f>
        <v/>
      </c>
      <c r="BL77" s="311" t="str">
        <f>IF($B77=0,"",SUMIFS(INPUT_DATA!N:N,INPUT_DATA!$A:$A,$B77,INPUT_DATA!$C:$C,"D"))</f>
        <v/>
      </c>
      <c r="BM77" s="311" t="str">
        <f>IF($B77=0,"",SUMIFS(INPUT_DATA!O:O,INPUT_DATA!$A:$A,$B77,INPUT_DATA!$C:$C,"D"))</f>
        <v/>
      </c>
      <c r="BN77" s="741" t="str">
        <f t="shared" si="18"/>
        <v/>
      </c>
      <c r="BO77" s="741" t="str">
        <f>IF($B77=0,"",SUMIFS(INPUT_DATA!O:O,INPUT_DATA!$A:$A,$B77,INPUT_DATA!$C:$C,"D"))</f>
        <v/>
      </c>
      <c r="BP77" s="741" t="str">
        <f t="shared" si="19"/>
        <v/>
      </c>
      <c r="BQ77" s="725" t="str">
        <f>IF($B77=0,"",SUMIFS(INPUT_DATA!Q:Q,INPUT_DATA!$A:$A,$B77,INPUT_DATA!$C:$C,"D"))</f>
        <v/>
      </c>
      <c r="BR77" s="747" t="str">
        <f>IF($B77=0,"",SUMIFS(INPUT_DATA!R:R,INPUT_DATA!$A:$A,$B77,INPUT_DATA!$C:$C,"D"))</f>
        <v/>
      </c>
      <c r="BS77" s="747" t="str">
        <f>IF($B77=0,"",SUMIFS(INPUT_DATA!S:S,INPUT_DATA!$A:$A,$B77,INPUT_DATA!$C:$C,"D"))</f>
        <v/>
      </c>
      <c r="BT77" s="311" t="str">
        <f>IF($B77=0,"",SUMIFS(INPUT_DATA!T:T,INPUT_DATA!$A:$A,$B77,INPUT_DATA!$C:$C,"D"))</f>
        <v/>
      </c>
      <c r="BU77" s="311" t="str">
        <f>IF($B77=0,"",SUMIFS(INPUT_DATA!U:U,INPUT_DATA!$A:$A,$B77,INPUT_DATA!$C:$C,"D"))</f>
        <v/>
      </c>
      <c r="BV77" s="311" t="str">
        <f>IF($B77=0,"",SUMIFS(INPUT_DATA!V:V,INPUT_DATA!$A:$A,$B77,INPUT_DATA!$C:$C,"D"))</f>
        <v/>
      </c>
      <c r="BW77" s="311" t="str">
        <f>IF($B77=0,"",SUMIFS(INPUT_DATA!W:W,INPUT_DATA!$A:$A,$B77,INPUT_DATA!$C:$C,"D"))</f>
        <v/>
      </c>
      <c r="BX77" s="311" t="str">
        <f>IF($B77=0,"",SUMIFS(INPUT_DATA!X:X,INPUT_DATA!$A:$A,$B77,INPUT_DATA!$C:$C,"D"))</f>
        <v/>
      </c>
      <c r="BY77" s="311" t="str">
        <f>IF($B77=0,"",SUMIFS(INPUT_DATA!Y:Y,INPUT_DATA!$A:$A,$B77,INPUT_DATA!$C:$C,"D"))</f>
        <v/>
      </c>
      <c r="BZ77" s="352" t="str">
        <f>IF($B77=0,"",SUMIFS(INPUT_DATA!Z:Z,INPUT_DATA!$A:$A,$B77,INPUT_DATA!$C:$C,"D"))</f>
        <v/>
      </c>
      <c r="CA77" s="352" t="str">
        <f>IF($B77=0,"",SUMIFS(INPUT_DATA!AA:AA,INPUT_DATA!$A:$A,$B77,INPUT_DATA!$C:$C,"D"))</f>
        <v/>
      </c>
      <c r="CB77" s="352" t="str">
        <f>IF($B77=0,"",SUMIFS(INPUT_DATA!AB:AB,INPUT_DATA!$A:$A,$B77,INPUT_DATA!$C:$C,"D"))</f>
        <v/>
      </c>
      <c r="CC77" s="311" t="str">
        <f>IF($B77=0,"",SUMIFS(INPUT_DATA!AC:AC,INPUT_DATA!$A:$A,$B77,INPUT_DATA!$C:$C,"D"))</f>
        <v/>
      </c>
      <c r="CD77" s="311" t="str">
        <f>IF($B77=0,"",SUMIFS(INPUT_DATA!AD:AD,INPUT_DATA!$A:$A,$B77,INPUT_DATA!$C:$C,"D"))</f>
        <v/>
      </c>
      <c r="CE77" s="311" t="str">
        <f>IF($B77=0,"",SUMIFS(INPUT_DATA!AE:AE,INPUT_DATA!$A:$A,$B77,INPUT_DATA!$C:$C,"D"))</f>
        <v/>
      </c>
      <c r="CF77" s="352" t="str">
        <f>IF($B77=0,"",SUMIFS(INPUT_DATA!AF:AF,INPUT_DATA!$A:$A,$B77,INPUT_DATA!$C:$C,"D"))</f>
        <v/>
      </c>
      <c r="CG77" s="352" t="str">
        <f>IF($B77=0,"",SUMIFS(INPUT_DATA!AG:AG,INPUT_DATA!$A:$A,$B77,INPUT_DATA!$C:$C,"D"))</f>
        <v/>
      </c>
      <c r="CH77" s="352" t="str">
        <f>IF($B77=0,"",SUMIFS(INPUT_DATA!AH:AH,INPUT_DATA!$A:$A,$B77,INPUT_DATA!$C:$C,"D"))</f>
        <v/>
      </c>
      <c r="CI77" s="153" t="str">
        <f>IF($B77=0,"",SUMIFS(INPUT_DATA!AI:AI,INPUT_DATA!$A:$A,$B77,INPUT_DATA!$C:$C,"D"))</f>
        <v/>
      </c>
      <c r="CJ77" s="153" t="str">
        <f>IF($B77=0,"",SUMIFS(INPUT_DATA!AJ:AJ,INPUT_DATA!$A:$A,$B77,INPUT_DATA!$C:$C,"D"))</f>
        <v/>
      </c>
      <c r="CK77" s="153" t="str">
        <f>IF($B77=0,"",SUMIFS(INPUT_DATA!AK:AK,INPUT_DATA!$A:$A,$B77,INPUT_DATA!$C:$C,"D"))</f>
        <v/>
      </c>
      <c r="CL77" s="153" t="str">
        <f>IF($B77=0,"",SUMIFS(INPUT_DATA!AL:AL,INPUT_DATA!$A:$A,$B77,INPUT_DATA!$C:$C,"D"))</f>
        <v/>
      </c>
      <c r="CM77" s="153" t="str">
        <f>IF($B77=0,"",SUMIFS(INPUT_DATA!AM:AM,INPUT_DATA!$A:$A,$B77,INPUT_DATA!$C:$C,"D"))</f>
        <v/>
      </c>
      <c r="CN77" s="153" t="str">
        <f>IF($B77=0,"",SUMIFS(INPUT_DATA!AN:AN,INPUT_DATA!$A:$A,$B77,INPUT_DATA!$C:$C,"D"))</f>
        <v/>
      </c>
      <c r="CO77" s="153" t="str">
        <f>IF($B77=0,"",SUMIFS(INPUT_DATA!AO:AO,INPUT_DATA!$A:$A,$B77,INPUT_DATA!$C:$C,"D"))</f>
        <v/>
      </c>
      <c r="CP77" s="153" t="str">
        <f>IF($B77=0,"",SUMIFS(INPUT_DATA!AP:AP,INPUT_DATA!$A:$A,$B77,INPUT_DATA!$C:$C,"D"))</f>
        <v/>
      </c>
      <c r="CQ77" s="153" t="str">
        <f>IF($B77=0,"",SUMIFS(INPUT_DATA!AQ:AQ,INPUT_DATA!$A:$A,$B77,INPUT_DATA!$C:$C,"D"))</f>
        <v/>
      </c>
      <c r="CR77" s="737" t="str">
        <f t="shared" si="32"/>
        <v/>
      </c>
      <c r="CS77" s="737" t="str">
        <f t="shared" si="33"/>
        <v/>
      </c>
      <c r="CT77" s="737" t="str">
        <f t="shared" si="34"/>
        <v/>
      </c>
      <c r="CU77" s="726" t="str">
        <f>IF($B77=0,"",SUMIFS(INPUT_DATA!AR:AR,INPUT_DATA!$A:$A,$B77,INPUT_DATA!$C:$C,"D"))</f>
        <v/>
      </c>
      <c r="CV77" s="726" t="str">
        <f>IF($B77=0,"",SUMIFS(INPUT_DATA!AS:AS,INPUT_DATA!$A:$A,$B77,INPUT_DATA!$C:$C,"D"))</f>
        <v/>
      </c>
      <c r="CW77" s="726" t="str">
        <f>IF($B77=0,"",SUMIFS(INPUT_DATA!AT:AT,INPUT_DATA!$A:$A,$B77,INPUT_DATA!$C:$C,"D"))</f>
        <v/>
      </c>
      <c r="CX77" s="726" t="str">
        <f t="shared" si="35"/>
        <v/>
      </c>
      <c r="CY77" s="737" t="str">
        <f t="shared" si="36"/>
        <v/>
      </c>
      <c r="CZ77" s="748" t="str">
        <f t="shared" si="37"/>
        <v/>
      </c>
      <c r="DA77" s="150"/>
    </row>
    <row r="78" spans="1:105" x14ac:dyDescent="0.2">
      <c r="A78" s="172">
        <f t="shared" si="40"/>
        <v>-31</v>
      </c>
      <c r="B78" s="720">
        <f>INPUT_DATA!BQ65</f>
        <v>0</v>
      </c>
      <c r="C78" s="725" t="str">
        <f>IF($B78=0,"",SUMIFS(INPUT_DATA!D:D,INPUT_DATA!$A:$A,$B78,INPUT_DATA!$C:$C,"S"))</f>
        <v/>
      </c>
      <c r="D78" s="726" t="str">
        <f>IF($B78=0,"",SUMIFS(INPUT_DATA!E:E,INPUT_DATA!$A:$A,$B78,INPUT_DATA!$C:$C,"S"))</f>
        <v/>
      </c>
      <c r="E78" s="727" t="str">
        <f>IF($B78=0,"",SUMIFS(INPUT_DATA!F:F,INPUT_DATA!$A:$A,$B78,INPUT_DATA!$C:$C,"S"))</f>
        <v/>
      </c>
      <c r="F78" s="727" t="str">
        <f>IF($B78=0,"",SUMIFS(INPUT_DATA!G:G,INPUT_DATA!$A:$A,$B78,INPUT_DATA!$C:$C,"S"))</f>
        <v/>
      </c>
      <c r="G78" s="727" t="str">
        <f>IF($B78=0,"",SUMIFS(INPUT_DATA!H:H,INPUT_DATA!$A:$A,$B78,INPUT_DATA!$C:$C,"S"))</f>
        <v/>
      </c>
      <c r="H78" s="727" t="str">
        <f>IF($B78=0,"",SUMIFS(INPUT_DATA!I:I,INPUT_DATA!$A:$A,$B78,INPUT_DATA!$C:$C,"S"))</f>
        <v/>
      </c>
      <c r="I78" s="727" t="str">
        <f>IF($B78=0,"",SUMIFS(INPUT_DATA!J:J,INPUT_DATA!$A:$A,$B78,INPUT_DATA!$C:$C,"S"))</f>
        <v/>
      </c>
      <c r="J78" s="727" t="str">
        <f>IF($B78=0,"",SUMIFS(INPUT_DATA!K:K,INPUT_DATA!$A:$A,$B78,INPUT_DATA!$C:$C,"S"))</f>
        <v/>
      </c>
      <c r="K78" s="727" t="str">
        <f>IF($B78=0,"",SUMIFS(INPUT_DATA!L:L,INPUT_DATA!$A:$A,$B78,INPUT_DATA!$C:$C,"S"))</f>
        <v/>
      </c>
      <c r="L78" s="727" t="str">
        <f>IF($B78=0,"",SUMIFS(INPUT_DATA!M:M,INPUT_DATA!$A:$A,$B78,INPUT_DATA!$C:$C,"S"))</f>
        <v/>
      </c>
      <c r="M78" s="727" t="str">
        <f>IF($B78=0,"",SUMIFS(INPUT_DATA!N:N,INPUT_DATA!$A:$A,$B78,INPUT_DATA!$C:$C,"S"))</f>
        <v/>
      </c>
      <c r="N78" s="727" t="str">
        <f>IF($B78=0,"",SUMIFS(INPUT_DATA!O:O,INPUT_DATA!$A:$A,$B78,INPUT_DATA!$C:$C,"S"))</f>
        <v/>
      </c>
      <c r="O78" s="728" t="str">
        <f t="shared" si="38"/>
        <v/>
      </c>
      <c r="P78" s="729" t="str">
        <f>IF($B78=0,"",SUMIFS(INPUT_DATA!P:P,INPUT_DATA!$A:$A,$B78,INPUT_DATA!$C:$C,"S"))</f>
        <v/>
      </c>
      <c r="Q78" s="729" t="str">
        <f t="shared" si="39"/>
        <v/>
      </c>
      <c r="R78" s="735" t="str">
        <f>IF($B78=0,"",SUMIFS(INPUT_DATA!Q:Q,INPUT_DATA!$A:$A,$B78,INPUT_DATA!$C:$C,"S"))</f>
        <v/>
      </c>
      <c r="S78" s="735" t="str">
        <f>IF($B78=0,"",SUMIFS(INPUT_DATA!R:R,INPUT_DATA!$A:$A,$B78,INPUT_DATA!$C:$C,"S"))</f>
        <v/>
      </c>
      <c r="T78" s="735" t="str">
        <f>IF($B78=0,"",SUMIFS(INPUT_DATA!S:S,INPUT_DATA!$A:$A,$B78,INPUT_DATA!$C:$C,"S"))</f>
        <v/>
      </c>
      <c r="U78" s="312" t="str">
        <f>IF($B78=0,"",SUMIFS(INPUT_DATA!T:T,INPUT_DATA!$A:$A,$B78,INPUT_DATA!$C:$C,"S"))</f>
        <v/>
      </c>
      <c r="V78" s="312" t="str">
        <f>IF($B78=0,"",SUMIFS(INPUT_DATA!U:U,INPUT_DATA!$A:$A,$B78,INPUT_DATA!$C:$C,"S"))</f>
        <v/>
      </c>
      <c r="W78" s="312" t="str">
        <f>IF($B78=0,"",SUMIFS(INPUT_DATA!V:V,INPUT_DATA!$A:$A,$B78,INPUT_DATA!$C:$C,"S"))</f>
        <v/>
      </c>
      <c r="X78" s="312" t="str">
        <f>IF($B78=0,"",SUMIFS(INPUT_DATA!W:W,INPUT_DATA!$A:$A,$B78,INPUT_DATA!$C:$C,"S"))</f>
        <v/>
      </c>
      <c r="Y78" s="312" t="str">
        <f>IF($B78=0,"",SUMIFS(INPUT_DATA!X:X,INPUT_DATA!$A:$A,$B78,INPUT_DATA!$C:$C,"S"))</f>
        <v/>
      </c>
      <c r="Z78" s="312" t="str">
        <f>IF($B78=0,"",SUMIFS(INPUT_DATA!Y:Y,INPUT_DATA!$A:$A,$B78,INPUT_DATA!$C:$C,"S"))</f>
        <v/>
      </c>
      <c r="AA78" s="312" t="str">
        <f>IF($B78=0,"",SUMIFS(INPUT_DATA!Z:Z,INPUT_DATA!$A:$A,$B78,INPUT_DATA!$C:$C,"S"))</f>
        <v/>
      </c>
      <c r="AB78" s="312" t="str">
        <f>IF($B78=0,"",SUMIFS(INPUT_DATA!AA:AA,INPUT_DATA!$A:$A,$B78,INPUT_DATA!$C:$C,"S"))</f>
        <v/>
      </c>
      <c r="AC78" s="312" t="str">
        <f>IF($B78=0,"",SUMIFS(INPUT_DATA!AB:AB,INPUT_DATA!$A:$A,$B78,INPUT_DATA!$C:$C,"S"))</f>
        <v/>
      </c>
      <c r="AD78" s="312" t="str">
        <f>IF($B78=0,"",SUMIFS(INPUT_DATA!AC:AC,INPUT_DATA!$A:$A,$B78,INPUT_DATA!$C:$C,"S"))</f>
        <v/>
      </c>
      <c r="AE78" s="312" t="str">
        <f>IF($B78=0,"",SUMIFS(INPUT_DATA!AD:AD,INPUT_DATA!$A:$A,$B78,INPUT_DATA!$C:$C,"S"))</f>
        <v/>
      </c>
      <c r="AF78" s="312" t="str">
        <f>IF($B78=0,"",SUMIFS(INPUT_DATA!AE:AE,INPUT_DATA!$A:$A,$B78,INPUT_DATA!$C:$C,"S"))</f>
        <v/>
      </c>
      <c r="AG78" s="312" t="str">
        <f>IF($B78=0,"",SUMIFS(INPUT_DATA!AF:AF,INPUT_DATA!$A:$A,$B78,INPUT_DATA!$C:$C,"S"))</f>
        <v/>
      </c>
      <c r="AH78" s="312" t="str">
        <f>IF($B78=0,"",SUMIFS(INPUT_DATA!AG:AG,INPUT_DATA!$A:$A,$B78,INPUT_DATA!$C:$C,"S"))</f>
        <v/>
      </c>
      <c r="AI78" s="312" t="str">
        <f>IF($B78=0,"",SUMIFS(INPUT_DATA!AH:AH,INPUT_DATA!$A:$A,$B78,INPUT_DATA!$C:$C,"S"))</f>
        <v/>
      </c>
      <c r="AJ78" s="312" t="str">
        <f>IF($B78=0,"",SUMIFS(INPUT_DATA!AI:AI,INPUT_DATA!$A:$A,$B78,INPUT_DATA!$C:$C,"S"))</f>
        <v/>
      </c>
      <c r="AK78" s="312" t="str">
        <f>IF($B78=0,"",SUMIFS(INPUT_DATA!AJ:AJ,INPUT_DATA!$A:$A,$B78,INPUT_DATA!$C:$C,"S"))</f>
        <v/>
      </c>
      <c r="AL78" s="312" t="str">
        <f>IF($B78=0,"",SUMIFS(INPUT_DATA!AK:AK,INPUT_DATA!$A:$A,$B78,INPUT_DATA!$C:$C,"S"))</f>
        <v/>
      </c>
      <c r="AM78" s="312" t="str">
        <f>IF($B78=0,"",SUMIFS(INPUT_DATA!AL:AL,INPUT_DATA!$A:$A,$B78,INPUT_DATA!$C:$C,"S"))</f>
        <v/>
      </c>
      <c r="AN78" s="312" t="str">
        <f>IF($B78=0,"",SUMIFS(INPUT_DATA!AM:AM,INPUT_DATA!$A:$A,$B78,INPUT_DATA!$C:$C,"S"))</f>
        <v/>
      </c>
      <c r="AO78" s="312" t="str">
        <f>IF($B78=0,"",SUMIFS(INPUT_DATA!AN:AN,INPUT_DATA!$A:$A,$B78,INPUT_DATA!$C:$C,"S"))</f>
        <v/>
      </c>
      <c r="AP78" s="312" t="str">
        <f>IF($B78=0,"",SUMIFS(INPUT_DATA!AO:AO,INPUT_DATA!$A:$A,$B78,INPUT_DATA!$C:$C,"S"))</f>
        <v/>
      </c>
      <c r="AQ78" s="312" t="str">
        <f>IF($B78=0,"",SUMIFS(INPUT_DATA!AP:AP,INPUT_DATA!$A:$A,$B78,INPUT_DATA!$C:$C,"S"))</f>
        <v/>
      </c>
      <c r="AR78" s="312" t="str">
        <f>IF($B78=0,"",SUMIFS(INPUT_DATA!AQ:AQ,INPUT_DATA!$A:$A,$B78,INPUT_DATA!$C:$C,"S"))</f>
        <v/>
      </c>
      <c r="AS78" s="736" t="str">
        <f t="shared" si="29"/>
        <v/>
      </c>
      <c r="AT78" s="737" t="str">
        <f t="shared" si="30"/>
        <v/>
      </c>
      <c r="AU78" s="738" t="str">
        <f t="shared" si="31"/>
        <v/>
      </c>
      <c r="AV78" s="736" t="str">
        <f>IF($B78=0,"",SUMIFS(INPUT_DATA!AR:AR,INPUT_DATA!$A:$A,$B78,INPUT_DATA!$C:$C,"S"))</f>
        <v/>
      </c>
      <c r="AW78" s="737" t="str">
        <f>IF($B78=0,"",SUMIFS(INPUT_DATA!AS:AS,INPUT_DATA!$A:$A,$B78,INPUT_DATA!$C:$C,"S"))</f>
        <v/>
      </c>
      <c r="AX78" s="738" t="str">
        <f>IF($B78=0,"",SUMIFS(INPUT_DATA!AT:AT,INPUT_DATA!$A:$A,$B78,INPUT_DATA!$C:$C,"S"))</f>
        <v/>
      </c>
      <c r="AY78" s="736" t="str">
        <f t="shared" si="15"/>
        <v/>
      </c>
      <c r="AZ78" s="737" t="str">
        <f t="shared" si="16"/>
        <v/>
      </c>
      <c r="BA78" s="738" t="str">
        <f t="shared" si="17"/>
        <v/>
      </c>
      <c r="BB78" s="150"/>
      <c r="BC78" s="725" t="str">
        <f>IF($B78=0,"",SUMIFS(INPUT_DATA!D:D,INPUT_DATA!$A:$A,$B78,INPUT_DATA!$C:$C,"D"))</f>
        <v/>
      </c>
      <c r="BD78" s="311" t="str">
        <f>IF($B78=0,"",SUMIFS(INPUT_DATA!F:F,INPUT_DATA!$A:$A,$B78,INPUT_DATA!$C:$C,"D"))</f>
        <v/>
      </c>
      <c r="BE78" s="311" t="str">
        <f>IF($B78=0,"",SUMIFS(INPUT_DATA!G:G,INPUT_DATA!$A:$A,$B78,INPUT_DATA!$C:$C,"D"))</f>
        <v/>
      </c>
      <c r="BF78" s="311" t="str">
        <f>IF($B78=0,"",SUMIFS(INPUT_DATA!H:H,INPUT_DATA!$A:$A,$B78,INPUT_DATA!$C:$C,"D"))</f>
        <v/>
      </c>
      <c r="BG78" s="311" t="str">
        <f>IF($B78=0,"",SUMIFS(INPUT_DATA!I:I,INPUT_DATA!$A:$A,$B78,INPUT_DATA!$C:$C,"D"))</f>
        <v/>
      </c>
      <c r="BH78" s="311" t="str">
        <f>IF($B78=0,"",SUMIFS(INPUT_DATA!J:J,INPUT_DATA!$A:$A,$B78,INPUT_DATA!$C:$C,"D"))</f>
        <v/>
      </c>
      <c r="BI78" s="311" t="str">
        <f>IF($B78=0,"",SUMIFS(INPUT_DATA!K:K,INPUT_DATA!$A:$A,$B78,INPUT_DATA!$C:$C,"D"))</f>
        <v/>
      </c>
      <c r="BJ78" s="311" t="str">
        <f>IF($B78=0,"",SUMIFS(INPUT_DATA!L:L,INPUT_DATA!$A:$A,$B78,INPUT_DATA!$C:$C,"D"))</f>
        <v/>
      </c>
      <c r="BK78" s="311" t="str">
        <f>IF($B78=0,"",SUMIFS(INPUT_DATA!M:M,INPUT_DATA!$A:$A,$B78,INPUT_DATA!$C:$C,"D"))</f>
        <v/>
      </c>
      <c r="BL78" s="311" t="str">
        <f>IF($B78=0,"",SUMIFS(INPUT_DATA!N:N,INPUT_DATA!$A:$A,$B78,INPUT_DATA!$C:$C,"D"))</f>
        <v/>
      </c>
      <c r="BM78" s="311" t="str">
        <f>IF($B78=0,"",SUMIFS(INPUT_DATA!O:O,INPUT_DATA!$A:$A,$B78,INPUT_DATA!$C:$C,"D"))</f>
        <v/>
      </c>
      <c r="BN78" s="741" t="str">
        <f t="shared" si="18"/>
        <v/>
      </c>
      <c r="BO78" s="741" t="str">
        <f>IF($B78=0,"",SUMIFS(INPUT_DATA!O:O,INPUT_DATA!$A:$A,$B78,INPUT_DATA!$C:$C,"D"))</f>
        <v/>
      </c>
      <c r="BP78" s="741" t="str">
        <f t="shared" si="19"/>
        <v/>
      </c>
      <c r="BQ78" s="725" t="str">
        <f>IF($B78=0,"",SUMIFS(INPUT_DATA!Q:Q,INPUT_DATA!$A:$A,$B78,INPUT_DATA!$C:$C,"D"))</f>
        <v/>
      </c>
      <c r="BR78" s="747" t="str">
        <f>IF($B78=0,"",SUMIFS(INPUT_DATA!R:R,INPUT_DATA!$A:$A,$B78,INPUT_DATA!$C:$C,"D"))</f>
        <v/>
      </c>
      <c r="BS78" s="747" t="str">
        <f>IF($B78=0,"",SUMIFS(INPUT_DATA!S:S,INPUT_DATA!$A:$A,$B78,INPUT_DATA!$C:$C,"D"))</f>
        <v/>
      </c>
      <c r="BT78" s="311" t="str">
        <f>IF($B78=0,"",SUMIFS(INPUT_DATA!T:T,INPUT_DATA!$A:$A,$B78,INPUT_DATA!$C:$C,"D"))</f>
        <v/>
      </c>
      <c r="BU78" s="311" t="str">
        <f>IF($B78=0,"",SUMIFS(INPUT_DATA!U:U,INPUT_DATA!$A:$A,$B78,INPUT_DATA!$C:$C,"D"))</f>
        <v/>
      </c>
      <c r="BV78" s="311" t="str">
        <f>IF($B78=0,"",SUMIFS(INPUT_DATA!V:V,INPUT_DATA!$A:$A,$B78,INPUT_DATA!$C:$C,"D"))</f>
        <v/>
      </c>
      <c r="BW78" s="311" t="str">
        <f>IF($B78=0,"",SUMIFS(INPUT_DATA!W:W,INPUT_DATA!$A:$A,$B78,INPUT_DATA!$C:$C,"D"))</f>
        <v/>
      </c>
      <c r="BX78" s="311" t="str">
        <f>IF($B78=0,"",SUMIFS(INPUT_DATA!X:X,INPUT_DATA!$A:$A,$B78,INPUT_DATA!$C:$C,"D"))</f>
        <v/>
      </c>
      <c r="BY78" s="311" t="str">
        <f>IF($B78=0,"",SUMIFS(INPUT_DATA!Y:Y,INPUT_DATA!$A:$A,$B78,INPUT_DATA!$C:$C,"D"))</f>
        <v/>
      </c>
      <c r="BZ78" s="352" t="str">
        <f>IF($B78=0,"",SUMIFS(INPUT_DATA!Z:Z,INPUT_DATA!$A:$A,$B78,INPUT_DATA!$C:$C,"D"))</f>
        <v/>
      </c>
      <c r="CA78" s="352" t="str">
        <f>IF($B78=0,"",SUMIFS(INPUT_DATA!AA:AA,INPUT_DATA!$A:$A,$B78,INPUT_DATA!$C:$C,"D"))</f>
        <v/>
      </c>
      <c r="CB78" s="352" t="str">
        <f>IF($B78=0,"",SUMIFS(INPUT_DATA!AB:AB,INPUT_DATA!$A:$A,$B78,INPUT_DATA!$C:$C,"D"))</f>
        <v/>
      </c>
      <c r="CC78" s="311" t="str">
        <f>IF($B78=0,"",SUMIFS(INPUT_DATA!AC:AC,INPUT_DATA!$A:$A,$B78,INPUT_DATA!$C:$C,"D"))</f>
        <v/>
      </c>
      <c r="CD78" s="311" t="str">
        <f>IF($B78=0,"",SUMIFS(INPUT_DATA!AD:AD,INPUT_DATA!$A:$A,$B78,INPUT_DATA!$C:$C,"D"))</f>
        <v/>
      </c>
      <c r="CE78" s="311" t="str">
        <f>IF($B78=0,"",SUMIFS(INPUT_DATA!AE:AE,INPUT_DATA!$A:$A,$B78,INPUT_DATA!$C:$C,"D"))</f>
        <v/>
      </c>
      <c r="CF78" s="352" t="str">
        <f>IF($B78=0,"",SUMIFS(INPUT_DATA!AF:AF,INPUT_DATA!$A:$A,$B78,INPUT_DATA!$C:$C,"D"))</f>
        <v/>
      </c>
      <c r="CG78" s="352" t="str">
        <f>IF($B78=0,"",SUMIFS(INPUT_DATA!AG:AG,INPUT_DATA!$A:$A,$B78,INPUT_DATA!$C:$C,"D"))</f>
        <v/>
      </c>
      <c r="CH78" s="352" t="str">
        <f>IF($B78=0,"",SUMIFS(INPUT_DATA!AH:AH,INPUT_DATA!$A:$A,$B78,INPUT_DATA!$C:$C,"D"))</f>
        <v/>
      </c>
      <c r="CI78" s="153" t="str">
        <f>IF($B78=0,"",SUMIFS(INPUT_DATA!AI:AI,INPUT_DATA!$A:$A,$B78,INPUT_DATA!$C:$C,"D"))</f>
        <v/>
      </c>
      <c r="CJ78" s="153" t="str">
        <f>IF($B78=0,"",SUMIFS(INPUT_DATA!AJ:AJ,INPUT_DATA!$A:$A,$B78,INPUT_DATA!$C:$C,"D"))</f>
        <v/>
      </c>
      <c r="CK78" s="153" t="str">
        <f>IF($B78=0,"",SUMIFS(INPUT_DATA!AK:AK,INPUT_DATA!$A:$A,$B78,INPUT_DATA!$C:$C,"D"))</f>
        <v/>
      </c>
      <c r="CL78" s="153" t="str">
        <f>IF($B78=0,"",SUMIFS(INPUT_DATA!AL:AL,INPUT_DATA!$A:$A,$B78,INPUT_DATA!$C:$C,"D"))</f>
        <v/>
      </c>
      <c r="CM78" s="153" t="str">
        <f>IF($B78=0,"",SUMIFS(INPUT_DATA!AM:AM,INPUT_DATA!$A:$A,$B78,INPUT_DATA!$C:$C,"D"))</f>
        <v/>
      </c>
      <c r="CN78" s="153" t="str">
        <f>IF($B78=0,"",SUMIFS(INPUT_DATA!AN:AN,INPUT_DATA!$A:$A,$B78,INPUT_DATA!$C:$C,"D"))</f>
        <v/>
      </c>
      <c r="CO78" s="153" t="str">
        <f>IF($B78=0,"",SUMIFS(INPUT_DATA!AO:AO,INPUT_DATA!$A:$A,$B78,INPUT_DATA!$C:$C,"D"))</f>
        <v/>
      </c>
      <c r="CP78" s="153" t="str">
        <f>IF($B78=0,"",SUMIFS(INPUT_DATA!AP:AP,INPUT_DATA!$A:$A,$B78,INPUT_DATA!$C:$C,"D"))</f>
        <v/>
      </c>
      <c r="CQ78" s="153" t="str">
        <f>IF($B78=0,"",SUMIFS(INPUT_DATA!AQ:AQ,INPUT_DATA!$A:$A,$B78,INPUT_DATA!$C:$C,"D"))</f>
        <v/>
      </c>
      <c r="CR78" s="737" t="str">
        <f t="shared" si="32"/>
        <v/>
      </c>
      <c r="CS78" s="737" t="str">
        <f t="shared" si="33"/>
        <v/>
      </c>
      <c r="CT78" s="737" t="str">
        <f t="shared" si="34"/>
        <v/>
      </c>
      <c r="CU78" s="726" t="str">
        <f>IF($B78=0,"",SUMIFS(INPUT_DATA!AR:AR,INPUT_DATA!$A:$A,$B78,INPUT_DATA!$C:$C,"D"))</f>
        <v/>
      </c>
      <c r="CV78" s="726" t="str">
        <f>IF($B78=0,"",SUMIFS(INPUT_DATA!AS:AS,INPUT_DATA!$A:$A,$B78,INPUT_DATA!$C:$C,"D"))</f>
        <v/>
      </c>
      <c r="CW78" s="726" t="str">
        <f>IF($B78=0,"",SUMIFS(INPUT_DATA!AT:AT,INPUT_DATA!$A:$A,$B78,INPUT_DATA!$C:$C,"D"))</f>
        <v/>
      </c>
      <c r="CX78" s="726" t="str">
        <f t="shared" si="35"/>
        <v/>
      </c>
      <c r="CY78" s="737" t="str">
        <f t="shared" si="36"/>
        <v/>
      </c>
      <c r="CZ78" s="748" t="str">
        <f t="shared" si="37"/>
        <v/>
      </c>
      <c r="DA78" s="150"/>
    </row>
    <row r="79" spans="1:105" x14ac:dyDescent="0.2">
      <c r="A79" s="172">
        <f t="shared" si="40"/>
        <v>-32</v>
      </c>
      <c r="B79" s="720">
        <f>INPUT_DATA!BQ66</f>
        <v>0</v>
      </c>
      <c r="C79" s="725" t="str">
        <f>IF($B79=0,"",SUMIFS(INPUT_DATA!D:D,INPUT_DATA!$A:$A,$B79,INPUT_DATA!$C:$C,"S"))</f>
        <v/>
      </c>
      <c r="D79" s="726" t="str">
        <f>IF($B79=0,"",SUMIFS(INPUT_DATA!E:E,INPUT_DATA!$A:$A,$B79,INPUT_DATA!$C:$C,"S"))</f>
        <v/>
      </c>
      <c r="E79" s="727" t="str">
        <f>IF($B79=0,"",SUMIFS(INPUT_DATA!F:F,INPUT_DATA!$A:$A,$B79,INPUT_DATA!$C:$C,"S"))</f>
        <v/>
      </c>
      <c r="F79" s="727" t="str">
        <f>IF($B79=0,"",SUMIFS(INPUT_DATA!G:G,INPUT_DATA!$A:$A,$B79,INPUT_DATA!$C:$C,"S"))</f>
        <v/>
      </c>
      <c r="G79" s="727" t="str">
        <f>IF($B79=0,"",SUMIFS(INPUT_DATA!H:H,INPUT_DATA!$A:$A,$B79,INPUT_DATA!$C:$C,"S"))</f>
        <v/>
      </c>
      <c r="H79" s="727" t="str">
        <f>IF($B79=0,"",SUMIFS(INPUT_DATA!I:I,INPUT_DATA!$A:$A,$B79,INPUT_DATA!$C:$C,"S"))</f>
        <v/>
      </c>
      <c r="I79" s="727" t="str">
        <f>IF($B79=0,"",SUMIFS(INPUT_DATA!J:J,INPUT_DATA!$A:$A,$B79,INPUT_DATA!$C:$C,"S"))</f>
        <v/>
      </c>
      <c r="J79" s="727" t="str">
        <f>IF($B79=0,"",SUMIFS(INPUT_DATA!K:K,INPUT_DATA!$A:$A,$B79,INPUT_DATA!$C:$C,"S"))</f>
        <v/>
      </c>
      <c r="K79" s="727" t="str">
        <f>IF($B79=0,"",SUMIFS(INPUT_DATA!L:L,INPUT_DATA!$A:$A,$B79,INPUT_DATA!$C:$C,"S"))</f>
        <v/>
      </c>
      <c r="L79" s="727" t="str">
        <f>IF($B79=0,"",SUMIFS(INPUT_DATA!M:M,INPUT_DATA!$A:$A,$B79,INPUT_DATA!$C:$C,"S"))</f>
        <v/>
      </c>
      <c r="M79" s="727" t="str">
        <f>IF($B79=0,"",SUMIFS(INPUT_DATA!N:N,INPUT_DATA!$A:$A,$B79,INPUT_DATA!$C:$C,"S"))</f>
        <v/>
      </c>
      <c r="N79" s="727" t="str">
        <f>IF($B79=0,"",SUMIFS(INPUT_DATA!O:O,INPUT_DATA!$A:$A,$B79,INPUT_DATA!$C:$C,"S"))</f>
        <v/>
      </c>
      <c r="O79" s="728" t="str">
        <f t="shared" si="38"/>
        <v/>
      </c>
      <c r="P79" s="729" t="str">
        <f>IF($B79=0,"",SUMIFS(INPUT_DATA!P:P,INPUT_DATA!$A:$A,$B79,INPUT_DATA!$C:$C,"S"))</f>
        <v/>
      </c>
      <c r="Q79" s="729" t="str">
        <f t="shared" si="39"/>
        <v/>
      </c>
      <c r="R79" s="735" t="str">
        <f>IF($B79=0,"",SUMIFS(INPUT_DATA!Q:Q,INPUT_DATA!$A:$A,$B79,INPUT_DATA!$C:$C,"S"))</f>
        <v/>
      </c>
      <c r="S79" s="735" t="str">
        <f>IF($B79=0,"",SUMIFS(INPUT_DATA!R:R,INPUT_DATA!$A:$A,$B79,INPUT_DATA!$C:$C,"S"))</f>
        <v/>
      </c>
      <c r="T79" s="735" t="str">
        <f>IF($B79=0,"",SUMIFS(INPUT_DATA!S:S,INPUT_DATA!$A:$A,$B79,INPUT_DATA!$C:$C,"S"))</f>
        <v/>
      </c>
      <c r="U79" s="312" t="str">
        <f>IF($B79=0,"",SUMIFS(INPUT_DATA!T:T,INPUT_DATA!$A:$A,$B79,INPUT_DATA!$C:$C,"S"))</f>
        <v/>
      </c>
      <c r="V79" s="312" t="str">
        <f>IF($B79=0,"",SUMIFS(INPUT_DATA!U:U,INPUT_DATA!$A:$A,$B79,INPUT_DATA!$C:$C,"S"))</f>
        <v/>
      </c>
      <c r="W79" s="312" t="str">
        <f>IF($B79=0,"",SUMIFS(INPUT_DATA!V:V,INPUT_DATA!$A:$A,$B79,INPUT_DATA!$C:$C,"S"))</f>
        <v/>
      </c>
      <c r="X79" s="312" t="str">
        <f>IF($B79=0,"",SUMIFS(INPUT_DATA!W:W,INPUT_DATA!$A:$A,$B79,INPUT_DATA!$C:$C,"S"))</f>
        <v/>
      </c>
      <c r="Y79" s="312" t="str">
        <f>IF($B79=0,"",SUMIFS(INPUT_DATA!X:X,INPUT_DATA!$A:$A,$B79,INPUT_DATA!$C:$C,"S"))</f>
        <v/>
      </c>
      <c r="Z79" s="312" t="str">
        <f>IF($B79=0,"",SUMIFS(INPUT_DATA!Y:Y,INPUT_DATA!$A:$A,$B79,INPUT_DATA!$C:$C,"S"))</f>
        <v/>
      </c>
      <c r="AA79" s="312" t="str">
        <f>IF($B79=0,"",SUMIFS(INPUT_DATA!Z:Z,INPUT_DATA!$A:$A,$B79,INPUT_DATA!$C:$C,"S"))</f>
        <v/>
      </c>
      <c r="AB79" s="312" t="str">
        <f>IF($B79=0,"",SUMIFS(INPUT_DATA!AA:AA,INPUT_DATA!$A:$A,$B79,INPUT_DATA!$C:$C,"S"))</f>
        <v/>
      </c>
      <c r="AC79" s="312" t="str">
        <f>IF($B79=0,"",SUMIFS(INPUT_DATA!AB:AB,INPUT_DATA!$A:$A,$B79,INPUT_DATA!$C:$C,"S"))</f>
        <v/>
      </c>
      <c r="AD79" s="312" t="str">
        <f>IF($B79=0,"",SUMIFS(INPUT_DATA!AC:AC,INPUT_DATA!$A:$A,$B79,INPUT_DATA!$C:$C,"S"))</f>
        <v/>
      </c>
      <c r="AE79" s="312" t="str">
        <f>IF($B79=0,"",SUMIFS(INPUT_DATA!AD:AD,INPUT_DATA!$A:$A,$B79,INPUT_DATA!$C:$C,"S"))</f>
        <v/>
      </c>
      <c r="AF79" s="312" t="str">
        <f>IF($B79=0,"",SUMIFS(INPUT_DATA!AE:AE,INPUT_DATA!$A:$A,$B79,INPUT_DATA!$C:$C,"S"))</f>
        <v/>
      </c>
      <c r="AG79" s="312" t="str">
        <f>IF($B79=0,"",SUMIFS(INPUT_DATA!AF:AF,INPUT_DATA!$A:$A,$B79,INPUT_DATA!$C:$C,"S"))</f>
        <v/>
      </c>
      <c r="AH79" s="312" t="str">
        <f>IF($B79=0,"",SUMIFS(INPUT_DATA!AG:AG,INPUT_DATA!$A:$A,$B79,INPUT_DATA!$C:$C,"S"))</f>
        <v/>
      </c>
      <c r="AI79" s="312" t="str">
        <f>IF($B79=0,"",SUMIFS(INPUT_DATA!AH:AH,INPUT_DATA!$A:$A,$B79,INPUT_DATA!$C:$C,"S"))</f>
        <v/>
      </c>
      <c r="AJ79" s="312" t="str">
        <f>IF($B79=0,"",SUMIFS(INPUT_DATA!AI:AI,INPUT_DATA!$A:$A,$B79,INPUT_DATA!$C:$C,"S"))</f>
        <v/>
      </c>
      <c r="AK79" s="312" t="str">
        <f>IF($B79=0,"",SUMIFS(INPUT_DATA!AJ:AJ,INPUT_DATA!$A:$A,$B79,INPUT_DATA!$C:$C,"S"))</f>
        <v/>
      </c>
      <c r="AL79" s="312" t="str">
        <f>IF($B79=0,"",SUMIFS(INPUT_DATA!AK:AK,INPUT_DATA!$A:$A,$B79,INPUT_DATA!$C:$C,"S"))</f>
        <v/>
      </c>
      <c r="AM79" s="312" t="str">
        <f>IF($B79=0,"",SUMIFS(INPUT_DATA!AL:AL,INPUT_DATA!$A:$A,$B79,INPUT_DATA!$C:$C,"S"))</f>
        <v/>
      </c>
      <c r="AN79" s="312" t="str">
        <f>IF($B79=0,"",SUMIFS(INPUT_DATA!AM:AM,INPUT_DATA!$A:$A,$B79,INPUT_DATA!$C:$C,"S"))</f>
        <v/>
      </c>
      <c r="AO79" s="312" t="str">
        <f>IF($B79=0,"",SUMIFS(INPUT_DATA!AN:AN,INPUT_DATA!$A:$A,$B79,INPUT_DATA!$C:$C,"S"))</f>
        <v/>
      </c>
      <c r="AP79" s="312" t="str">
        <f>IF($B79=0,"",SUMIFS(INPUT_DATA!AO:AO,INPUT_DATA!$A:$A,$B79,INPUT_DATA!$C:$C,"S"))</f>
        <v/>
      </c>
      <c r="AQ79" s="312" t="str">
        <f>IF($B79=0,"",SUMIFS(INPUT_DATA!AP:AP,INPUT_DATA!$A:$A,$B79,INPUT_DATA!$C:$C,"S"))</f>
        <v/>
      </c>
      <c r="AR79" s="312" t="str">
        <f>IF($B79=0,"",SUMIFS(INPUT_DATA!AQ:AQ,INPUT_DATA!$A:$A,$B79,INPUT_DATA!$C:$C,"S"))</f>
        <v/>
      </c>
      <c r="AS79" s="736" t="str">
        <f t="shared" si="29"/>
        <v/>
      </c>
      <c r="AT79" s="737" t="str">
        <f t="shared" si="30"/>
        <v/>
      </c>
      <c r="AU79" s="738" t="str">
        <f t="shared" si="31"/>
        <v/>
      </c>
      <c r="AV79" s="736" t="str">
        <f>IF($B79=0,"",SUMIFS(INPUT_DATA!AR:AR,INPUT_DATA!$A:$A,$B79,INPUT_DATA!$C:$C,"S"))</f>
        <v/>
      </c>
      <c r="AW79" s="737" t="str">
        <f>IF($B79=0,"",SUMIFS(INPUT_DATA!AS:AS,INPUT_DATA!$A:$A,$B79,INPUT_DATA!$C:$C,"S"))</f>
        <v/>
      </c>
      <c r="AX79" s="738" t="str">
        <f>IF($B79=0,"",SUMIFS(INPUT_DATA!AT:AT,INPUT_DATA!$A:$A,$B79,INPUT_DATA!$C:$C,"S"))</f>
        <v/>
      </c>
      <c r="AY79" s="736" t="str">
        <f t="shared" si="15"/>
        <v/>
      </c>
      <c r="AZ79" s="737" t="str">
        <f t="shared" si="16"/>
        <v/>
      </c>
      <c r="BA79" s="738" t="str">
        <f t="shared" si="17"/>
        <v/>
      </c>
      <c r="BB79" s="150"/>
      <c r="BC79" s="725" t="str">
        <f>IF($B79=0,"",SUMIFS(INPUT_DATA!D:D,INPUT_DATA!$A:$A,$B79,INPUT_DATA!$C:$C,"D"))</f>
        <v/>
      </c>
      <c r="BD79" s="311" t="str">
        <f>IF($B79=0,"",SUMIFS(INPUT_DATA!F:F,INPUT_DATA!$A:$A,$B79,INPUT_DATA!$C:$C,"D"))</f>
        <v/>
      </c>
      <c r="BE79" s="311" t="str">
        <f>IF($B79=0,"",SUMIFS(INPUT_DATA!G:G,INPUT_DATA!$A:$A,$B79,INPUT_DATA!$C:$C,"D"))</f>
        <v/>
      </c>
      <c r="BF79" s="311" t="str">
        <f>IF($B79=0,"",SUMIFS(INPUT_DATA!H:H,INPUT_DATA!$A:$A,$B79,INPUT_DATA!$C:$C,"D"))</f>
        <v/>
      </c>
      <c r="BG79" s="311" t="str">
        <f>IF($B79=0,"",SUMIFS(INPUT_DATA!I:I,INPUT_DATA!$A:$A,$B79,INPUT_DATA!$C:$C,"D"))</f>
        <v/>
      </c>
      <c r="BH79" s="311" t="str">
        <f>IF($B79=0,"",SUMIFS(INPUT_DATA!J:J,INPUT_DATA!$A:$A,$B79,INPUT_DATA!$C:$C,"D"))</f>
        <v/>
      </c>
      <c r="BI79" s="311" t="str">
        <f>IF($B79=0,"",SUMIFS(INPUT_DATA!K:K,INPUT_DATA!$A:$A,$B79,INPUT_DATA!$C:$C,"D"))</f>
        <v/>
      </c>
      <c r="BJ79" s="311" t="str">
        <f>IF($B79=0,"",SUMIFS(INPUT_DATA!L:L,INPUT_DATA!$A:$A,$B79,INPUT_DATA!$C:$C,"D"))</f>
        <v/>
      </c>
      <c r="BK79" s="311" t="str">
        <f>IF($B79=0,"",SUMIFS(INPUT_DATA!M:M,INPUT_DATA!$A:$A,$B79,INPUT_DATA!$C:$C,"D"))</f>
        <v/>
      </c>
      <c r="BL79" s="311" t="str">
        <f>IF($B79=0,"",SUMIFS(INPUT_DATA!N:N,INPUT_DATA!$A:$A,$B79,INPUT_DATA!$C:$C,"D"))</f>
        <v/>
      </c>
      <c r="BM79" s="311" t="str">
        <f>IF($B79=0,"",SUMIFS(INPUT_DATA!O:O,INPUT_DATA!$A:$A,$B79,INPUT_DATA!$C:$C,"D"))</f>
        <v/>
      </c>
      <c r="BN79" s="741" t="str">
        <f t="shared" si="18"/>
        <v/>
      </c>
      <c r="BO79" s="741" t="str">
        <f>IF($B79=0,"",SUMIFS(INPUT_DATA!O:O,INPUT_DATA!$A:$A,$B79,INPUT_DATA!$C:$C,"D"))</f>
        <v/>
      </c>
      <c r="BP79" s="741" t="str">
        <f t="shared" si="19"/>
        <v/>
      </c>
      <c r="BQ79" s="725" t="str">
        <f>IF($B79=0,"",SUMIFS(INPUT_DATA!Q:Q,INPUT_DATA!$A:$A,$B79,INPUT_DATA!$C:$C,"D"))</f>
        <v/>
      </c>
      <c r="BR79" s="747" t="str">
        <f>IF($B79=0,"",SUMIFS(INPUT_DATA!R:R,INPUT_DATA!$A:$A,$B79,INPUT_DATA!$C:$C,"D"))</f>
        <v/>
      </c>
      <c r="BS79" s="747" t="str">
        <f>IF($B79=0,"",SUMIFS(INPUT_DATA!S:S,INPUT_DATA!$A:$A,$B79,INPUT_DATA!$C:$C,"D"))</f>
        <v/>
      </c>
      <c r="BT79" s="311" t="str">
        <f>IF($B79=0,"",SUMIFS(INPUT_DATA!T:T,INPUT_DATA!$A:$A,$B79,INPUT_DATA!$C:$C,"D"))</f>
        <v/>
      </c>
      <c r="BU79" s="311" t="str">
        <f>IF($B79=0,"",SUMIFS(INPUT_DATA!U:U,INPUT_DATA!$A:$A,$B79,INPUT_DATA!$C:$C,"D"))</f>
        <v/>
      </c>
      <c r="BV79" s="311" t="str">
        <f>IF($B79=0,"",SUMIFS(INPUT_DATA!V:V,INPUT_DATA!$A:$A,$B79,INPUT_DATA!$C:$C,"D"))</f>
        <v/>
      </c>
      <c r="BW79" s="311" t="str">
        <f>IF($B79=0,"",SUMIFS(INPUT_DATA!W:W,INPUT_DATA!$A:$A,$B79,INPUT_DATA!$C:$C,"D"))</f>
        <v/>
      </c>
      <c r="BX79" s="311" t="str">
        <f>IF($B79=0,"",SUMIFS(INPUT_DATA!X:X,INPUT_DATA!$A:$A,$B79,INPUT_DATA!$C:$C,"D"))</f>
        <v/>
      </c>
      <c r="BY79" s="311" t="str">
        <f>IF($B79=0,"",SUMIFS(INPUT_DATA!Y:Y,INPUT_DATA!$A:$A,$B79,INPUT_DATA!$C:$C,"D"))</f>
        <v/>
      </c>
      <c r="BZ79" s="352" t="str">
        <f>IF($B79=0,"",SUMIFS(INPUT_DATA!Z:Z,INPUT_DATA!$A:$A,$B79,INPUT_DATA!$C:$C,"D"))</f>
        <v/>
      </c>
      <c r="CA79" s="352" t="str">
        <f>IF($B79=0,"",SUMIFS(INPUT_DATA!AA:AA,INPUT_DATA!$A:$A,$B79,INPUT_DATA!$C:$C,"D"))</f>
        <v/>
      </c>
      <c r="CB79" s="352" t="str">
        <f>IF($B79=0,"",SUMIFS(INPUT_DATA!AB:AB,INPUT_DATA!$A:$A,$B79,INPUT_DATA!$C:$C,"D"))</f>
        <v/>
      </c>
      <c r="CC79" s="311" t="str">
        <f>IF($B79=0,"",SUMIFS(INPUT_DATA!AC:AC,INPUT_DATA!$A:$A,$B79,INPUT_DATA!$C:$C,"D"))</f>
        <v/>
      </c>
      <c r="CD79" s="311" t="str">
        <f>IF($B79=0,"",SUMIFS(INPUT_DATA!AD:AD,INPUT_DATA!$A:$A,$B79,INPUT_DATA!$C:$C,"D"))</f>
        <v/>
      </c>
      <c r="CE79" s="311" t="str">
        <f>IF($B79=0,"",SUMIFS(INPUT_DATA!AE:AE,INPUT_DATA!$A:$A,$B79,INPUT_DATA!$C:$C,"D"))</f>
        <v/>
      </c>
      <c r="CF79" s="352" t="str">
        <f>IF($B79=0,"",SUMIFS(INPUT_DATA!AF:AF,INPUT_DATA!$A:$A,$B79,INPUT_DATA!$C:$C,"D"))</f>
        <v/>
      </c>
      <c r="CG79" s="352" t="str">
        <f>IF($B79=0,"",SUMIFS(INPUT_DATA!AG:AG,INPUT_DATA!$A:$A,$B79,INPUT_DATA!$C:$C,"D"))</f>
        <v/>
      </c>
      <c r="CH79" s="352" t="str">
        <f>IF($B79=0,"",SUMIFS(INPUT_DATA!AH:AH,INPUT_DATA!$A:$A,$B79,INPUT_DATA!$C:$C,"D"))</f>
        <v/>
      </c>
      <c r="CI79" s="153" t="str">
        <f>IF($B79=0,"",SUMIFS(INPUT_DATA!AI:AI,INPUT_DATA!$A:$A,$B79,INPUT_DATA!$C:$C,"D"))</f>
        <v/>
      </c>
      <c r="CJ79" s="153" t="str">
        <f>IF($B79=0,"",SUMIFS(INPUT_DATA!AJ:AJ,INPUT_DATA!$A:$A,$B79,INPUT_DATA!$C:$C,"D"))</f>
        <v/>
      </c>
      <c r="CK79" s="153" t="str">
        <f>IF($B79=0,"",SUMIFS(INPUT_DATA!AK:AK,INPUT_DATA!$A:$A,$B79,INPUT_DATA!$C:$C,"D"))</f>
        <v/>
      </c>
      <c r="CL79" s="153" t="str">
        <f>IF($B79=0,"",SUMIFS(INPUT_DATA!AL:AL,INPUT_DATA!$A:$A,$B79,INPUT_DATA!$C:$C,"D"))</f>
        <v/>
      </c>
      <c r="CM79" s="153" t="str">
        <f>IF($B79=0,"",SUMIFS(INPUT_DATA!AM:AM,INPUT_DATA!$A:$A,$B79,INPUT_DATA!$C:$C,"D"))</f>
        <v/>
      </c>
      <c r="CN79" s="153" t="str">
        <f>IF($B79=0,"",SUMIFS(INPUT_DATA!AN:AN,INPUT_DATA!$A:$A,$B79,INPUT_DATA!$C:$C,"D"))</f>
        <v/>
      </c>
      <c r="CO79" s="153" t="str">
        <f>IF($B79=0,"",SUMIFS(INPUT_DATA!AO:AO,INPUT_DATA!$A:$A,$B79,INPUT_DATA!$C:$C,"D"))</f>
        <v/>
      </c>
      <c r="CP79" s="153" t="str">
        <f>IF($B79=0,"",SUMIFS(INPUT_DATA!AP:AP,INPUT_DATA!$A:$A,$B79,INPUT_DATA!$C:$C,"D"))</f>
        <v/>
      </c>
      <c r="CQ79" s="153" t="str">
        <f>IF($B79=0,"",SUMIFS(INPUT_DATA!AQ:AQ,INPUT_DATA!$A:$A,$B79,INPUT_DATA!$C:$C,"D"))</f>
        <v/>
      </c>
      <c r="CR79" s="737" t="str">
        <f t="shared" si="32"/>
        <v/>
      </c>
      <c r="CS79" s="737" t="str">
        <f t="shared" si="33"/>
        <v/>
      </c>
      <c r="CT79" s="737" t="str">
        <f t="shared" si="34"/>
        <v/>
      </c>
      <c r="CU79" s="726" t="str">
        <f>IF($B79=0,"",SUMIFS(INPUT_DATA!AR:AR,INPUT_DATA!$A:$A,$B79,INPUT_DATA!$C:$C,"D"))</f>
        <v/>
      </c>
      <c r="CV79" s="726" t="str">
        <f>IF($B79=0,"",SUMIFS(INPUT_DATA!AS:AS,INPUT_DATA!$A:$A,$B79,INPUT_DATA!$C:$C,"D"))</f>
        <v/>
      </c>
      <c r="CW79" s="726" t="str">
        <f>IF($B79=0,"",SUMIFS(INPUT_DATA!AT:AT,INPUT_DATA!$A:$A,$B79,INPUT_DATA!$C:$C,"D"))</f>
        <v/>
      </c>
      <c r="CX79" s="726" t="str">
        <f t="shared" si="35"/>
        <v/>
      </c>
      <c r="CY79" s="737" t="str">
        <f t="shared" si="36"/>
        <v/>
      </c>
      <c r="CZ79" s="748" t="str">
        <f t="shared" si="37"/>
        <v/>
      </c>
      <c r="DA79" s="150"/>
    </row>
    <row r="80" spans="1:105" x14ac:dyDescent="0.2">
      <c r="A80" s="172">
        <f t="shared" si="40"/>
        <v>-33</v>
      </c>
      <c r="B80" s="720">
        <f>INPUT_DATA!BQ67</f>
        <v>0</v>
      </c>
      <c r="C80" s="725" t="str">
        <f>IF($B80=0,"",SUMIFS(INPUT_DATA!D:D,INPUT_DATA!$A:$A,$B80,INPUT_DATA!$C:$C,"S"))</f>
        <v/>
      </c>
      <c r="D80" s="726" t="str">
        <f>IF($B80=0,"",SUMIFS(INPUT_DATA!E:E,INPUT_DATA!$A:$A,$B80,INPUT_DATA!$C:$C,"S"))</f>
        <v/>
      </c>
      <c r="E80" s="727" t="str">
        <f>IF($B80=0,"",SUMIFS(INPUT_DATA!F:F,INPUT_DATA!$A:$A,$B80,INPUT_DATA!$C:$C,"S"))</f>
        <v/>
      </c>
      <c r="F80" s="727" t="str">
        <f>IF($B80=0,"",SUMIFS(INPUT_DATA!G:G,INPUT_DATA!$A:$A,$B80,INPUT_DATA!$C:$C,"S"))</f>
        <v/>
      </c>
      <c r="G80" s="727" t="str">
        <f>IF($B80=0,"",SUMIFS(INPUT_DATA!H:H,INPUT_DATA!$A:$A,$B80,INPUT_DATA!$C:$C,"S"))</f>
        <v/>
      </c>
      <c r="H80" s="727" t="str">
        <f>IF($B80=0,"",SUMIFS(INPUT_DATA!I:I,INPUT_DATA!$A:$A,$B80,INPUT_DATA!$C:$C,"S"))</f>
        <v/>
      </c>
      <c r="I80" s="727" t="str">
        <f>IF($B80=0,"",SUMIFS(INPUT_DATA!J:J,INPUT_DATA!$A:$A,$B80,INPUT_DATA!$C:$C,"S"))</f>
        <v/>
      </c>
      <c r="J80" s="727" t="str">
        <f>IF($B80=0,"",SUMIFS(INPUT_DATA!K:K,INPUT_DATA!$A:$A,$B80,INPUT_DATA!$C:$C,"S"))</f>
        <v/>
      </c>
      <c r="K80" s="727" t="str">
        <f>IF($B80=0,"",SUMIFS(INPUT_DATA!L:L,INPUT_DATA!$A:$A,$B80,INPUT_DATA!$C:$C,"S"))</f>
        <v/>
      </c>
      <c r="L80" s="727" t="str">
        <f>IF($B80=0,"",SUMIFS(INPUT_DATA!M:M,INPUT_DATA!$A:$A,$B80,INPUT_DATA!$C:$C,"S"))</f>
        <v/>
      </c>
      <c r="M80" s="727" t="str">
        <f>IF($B80=0,"",SUMIFS(INPUT_DATA!N:N,INPUT_DATA!$A:$A,$B80,INPUT_DATA!$C:$C,"S"))</f>
        <v/>
      </c>
      <c r="N80" s="727" t="str">
        <f>IF($B80=0,"",SUMIFS(INPUT_DATA!O:O,INPUT_DATA!$A:$A,$B80,INPUT_DATA!$C:$C,"S"))</f>
        <v/>
      </c>
      <c r="O80" s="728" t="str">
        <f t="shared" si="38"/>
        <v/>
      </c>
      <c r="P80" s="729" t="str">
        <f>IF($B80=0,"",SUMIFS(INPUT_DATA!P:P,INPUT_DATA!$A:$A,$B80,INPUT_DATA!$C:$C,"S"))</f>
        <v/>
      </c>
      <c r="Q80" s="729" t="str">
        <f t="shared" si="39"/>
        <v/>
      </c>
      <c r="R80" s="735" t="str">
        <f>IF($B80=0,"",SUMIFS(INPUT_DATA!Q:Q,INPUT_DATA!$A:$A,$B80,INPUT_DATA!$C:$C,"S"))</f>
        <v/>
      </c>
      <c r="S80" s="735" t="str">
        <f>IF($B80=0,"",SUMIFS(INPUT_DATA!R:R,INPUT_DATA!$A:$A,$B80,INPUT_DATA!$C:$C,"S"))</f>
        <v/>
      </c>
      <c r="T80" s="735" t="str">
        <f>IF($B80=0,"",SUMIFS(INPUT_DATA!S:S,INPUT_DATA!$A:$A,$B80,INPUT_DATA!$C:$C,"S"))</f>
        <v/>
      </c>
      <c r="U80" s="312" t="str">
        <f>IF($B80=0,"",SUMIFS(INPUT_DATA!T:T,INPUT_DATA!$A:$A,$B80,INPUT_DATA!$C:$C,"S"))</f>
        <v/>
      </c>
      <c r="V80" s="312" t="str">
        <f>IF($B80=0,"",SUMIFS(INPUT_DATA!U:U,INPUT_DATA!$A:$A,$B80,INPUT_DATA!$C:$C,"S"))</f>
        <v/>
      </c>
      <c r="W80" s="312" t="str">
        <f>IF($B80=0,"",SUMIFS(INPUT_DATA!V:V,INPUT_DATA!$A:$A,$B80,INPUT_DATA!$C:$C,"S"))</f>
        <v/>
      </c>
      <c r="X80" s="312" t="str">
        <f>IF($B80=0,"",SUMIFS(INPUT_DATA!W:W,INPUT_DATA!$A:$A,$B80,INPUT_DATA!$C:$C,"S"))</f>
        <v/>
      </c>
      <c r="Y80" s="312" t="str">
        <f>IF($B80=0,"",SUMIFS(INPUT_DATA!X:X,INPUT_DATA!$A:$A,$B80,INPUT_DATA!$C:$C,"S"))</f>
        <v/>
      </c>
      <c r="Z80" s="312" t="str">
        <f>IF($B80=0,"",SUMIFS(INPUT_DATA!Y:Y,INPUT_DATA!$A:$A,$B80,INPUT_DATA!$C:$C,"S"))</f>
        <v/>
      </c>
      <c r="AA80" s="312" t="str">
        <f>IF($B80=0,"",SUMIFS(INPUT_DATA!Z:Z,INPUT_DATA!$A:$A,$B80,INPUT_DATA!$C:$C,"S"))</f>
        <v/>
      </c>
      <c r="AB80" s="312" t="str">
        <f>IF($B80=0,"",SUMIFS(INPUT_DATA!AA:AA,INPUT_DATA!$A:$A,$B80,INPUT_DATA!$C:$C,"S"))</f>
        <v/>
      </c>
      <c r="AC80" s="312" t="str">
        <f>IF($B80=0,"",SUMIFS(INPUT_DATA!AB:AB,INPUT_DATA!$A:$A,$B80,INPUT_DATA!$C:$C,"S"))</f>
        <v/>
      </c>
      <c r="AD80" s="312" t="str">
        <f>IF($B80=0,"",SUMIFS(INPUT_DATA!AC:AC,INPUT_DATA!$A:$A,$B80,INPUT_DATA!$C:$C,"S"))</f>
        <v/>
      </c>
      <c r="AE80" s="312" t="str">
        <f>IF($B80=0,"",SUMIFS(INPUT_DATA!AD:AD,INPUT_DATA!$A:$A,$B80,INPUT_DATA!$C:$C,"S"))</f>
        <v/>
      </c>
      <c r="AF80" s="312" t="str">
        <f>IF($B80=0,"",SUMIFS(INPUT_DATA!AE:AE,INPUT_DATA!$A:$A,$B80,INPUT_DATA!$C:$C,"S"))</f>
        <v/>
      </c>
      <c r="AG80" s="312" t="str">
        <f>IF($B80=0,"",SUMIFS(INPUT_DATA!AF:AF,INPUT_DATA!$A:$A,$B80,INPUT_DATA!$C:$C,"S"))</f>
        <v/>
      </c>
      <c r="AH80" s="312" t="str">
        <f>IF($B80=0,"",SUMIFS(INPUT_DATA!AG:AG,INPUT_DATA!$A:$A,$B80,INPUT_DATA!$C:$C,"S"))</f>
        <v/>
      </c>
      <c r="AI80" s="312" t="str">
        <f>IF($B80=0,"",SUMIFS(INPUT_DATA!AH:AH,INPUT_DATA!$A:$A,$B80,INPUT_DATA!$C:$C,"S"))</f>
        <v/>
      </c>
      <c r="AJ80" s="312" t="str">
        <f>IF($B80=0,"",SUMIFS(INPUT_DATA!AI:AI,INPUT_DATA!$A:$A,$B80,INPUT_DATA!$C:$C,"S"))</f>
        <v/>
      </c>
      <c r="AK80" s="312" t="str">
        <f>IF($B80=0,"",SUMIFS(INPUT_DATA!AJ:AJ,INPUT_DATA!$A:$A,$B80,INPUT_DATA!$C:$C,"S"))</f>
        <v/>
      </c>
      <c r="AL80" s="312" t="str">
        <f>IF($B80=0,"",SUMIFS(INPUT_DATA!AK:AK,INPUT_DATA!$A:$A,$B80,INPUT_DATA!$C:$C,"S"))</f>
        <v/>
      </c>
      <c r="AM80" s="312" t="str">
        <f>IF($B80=0,"",SUMIFS(INPUT_DATA!AL:AL,INPUT_DATA!$A:$A,$B80,INPUT_DATA!$C:$C,"S"))</f>
        <v/>
      </c>
      <c r="AN80" s="312" t="str">
        <f>IF($B80=0,"",SUMIFS(INPUT_DATA!AM:AM,INPUT_DATA!$A:$A,$B80,INPUT_DATA!$C:$C,"S"))</f>
        <v/>
      </c>
      <c r="AO80" s="312" t="str">
        <f>IF($B80=0,"",SUMIFS(INPUT_DATA!AN:AN,INPUT_DATA!$A:$A,$B80,INPUT_DATA!$C:$C,"S"))</f>
        <v/>
      </c>
      <c r="AP80" s="312" t="str">
        <f>IF($B80=0,"",SUMIFS(INPUT_DATA!AO:AO,INPUT_DATA!$A:$A,$B80,INPUT_DATA!$C:$C,"S"))</f>
        <v/>
      </c>
      <c r="AQ80" s="312" t="str">
        <f>IF($B80=0,"",SUMIFS(INPUT_DATA!AP:AP,INPUT_DATA!$A:$A,$B80,INPUT_DATA!$C:$C,"S"))</f>
        <v/>
      </c>
      <c r="AR80" s="312" t="str">
        <f>IF($B80=0,"",SUMIFS(INPUT_DATA!AQ:AQ,INPUT_DATA!$A:$A,$B80,INPUT_DATA!$C:$C,"S"))</f>
        <v/>
      </c>
      <c r="AS80" s="736" t="str">
        <f t="shared" si="29"/>
        <v/>
      </c>
      <c r="AT80" s="737" t="str">
        <f t="shared" si="30"/>
        <v/>
      </c>
      <c r="AU80" s="738" t="str">
        <f t="shared" si="31"/>
        <v/>
      </c>
      <c r="AV80" s="736" t="str">
        <f>IF($B80=0,"",SUMIFS(INPUT_DATA!AR:AR,INPUT_DATA!$A:$A,$B80,INPUT_DATA!$C:$C,"S"))</f>
        <v/>
      </c>
      <c r="AW80" s="737" t="str">
        <f>IF($B80=0,"",SUMIFS(INPUT_DATA!AS:AS,INPUT_DATA!$A:$A,$B80,INPUT_DATA!$C:$C,"S"))</f>
        <v/>
      </c>
      <c r="AX80" s="738" t="str">
        <f>IF($B80=0,"",SUMIFS(INPUT_DATA!AT:AT,INPUT_DATA!$A:$A,$B80,INPUT_DATA!$C:$C,"S"))</f>
        <v/>
      </c>
      <c r="AY80" s="736" t="str">
        <f t="shared" si="15"/>
        <v/>
      </c>
      <c r="AZ80" s="737" t="str">
        <f t="shared" si="16"/>
        <v/>
      </c>
      <c r="BA80" s="738" t="str">
        <f t="shared" si="17"/>
        <v/>
      </c>
      <c r="BB80" s="150"/>
      <c r="BC80" s="725" t="str">
        <f>IF($B80=0,"",SUMIFS(INPUT_DATA!D:D,INPUT_DATA!$A:$A,$B80,INPUT_DATA!$C:$C,"D"))</f>
        <v/>
      </c>
      <c r="BD80" s="311" t="str">
        <f>IF($B80=0,"",SUMIFS(INPUT_DATA!F:F,INPUT_DATA!$A:$A,$B80,INPUT_DATA!$C:$C,"D"))</f>
        <v/>
      </c>
      <c r="BE80" s="311" t="str">
        <f>IF($B80=0,"",SUMIFS(INPUT_DATA!G:G,INPUT_DATA!$A:$A,$B80,INPUT_DATA!$C:$C,"D"))</f>
        <v/>
      </c>
      <c r="BF80" s="311" t="str">
        <f>IF($B80=0,"",SUMIFS(INPUT_DATA!H:H,INPUT_DATA!$A:$A,$B80,INPUT_DATA!$C:$C,"D"))</f>
        <v/>
      </c>
      <c r="BG80" s="311" t="str">
        <f>IF($B80=0,"",SUMIFS(INPUT_DATA!I:I,INPUT_DATA!$A:$A,$B80,INPUT_DATA!$C:$C,"D"))</f>
        <v/>
      </c>
      <c r="BH80" s="311" t="str">
        <f>IF($B80=0,"",SUMIFS(INPUT_DATA!J:J,INPUT_DATA!$A:$A,$B80,INPUT_DATA!$C:$C,"D"))</f>
        <v/>
      </c>
      <c r="BI80" s="311" t="str">
        <f>IF($B80=0,"",SUMIFS(INPUT_DATA!K:K,INPUT_DATA!$A:$A,$B80,INPUT_DATA!$C:$C,"D"))</f>
        <v/>
      </c>
      <c r="BJ80" s="311" t="str">
        <f>IF($B80=0,"",SUMIFS(INPUT_DATA!L:L,INPUT_DATA!$A:$A,$B80,INPUT_DATA!$C:$C,"D"))</f>
        <v/>
      </c>
      <c r="BK80" s="311" t="str">
        <f>IF($B80=0,"",SUMIFS(INPUT_DATA!M:M,INPUT_DATA!$A:$A,$B80,INPUT_DATA!$C:$C,"D"))</f>
        <v/>
      </c>
      <c r="BL80" s="311" t="str">
        <f>IF($B80=0,"",SUMIFS(INPUT_DATA!N:N,INPUT_DATA!$A:$A,$B80,INPUT_DATA!$C:$C,"D"))</f>
        <v/>
      </c>
      <c r="BM80" s="311" t="str">
        <f>IF($B80=0,"",SUMIFS(INPUT_DATA!O:O,INPUT_DATA!$A:$A,$B80,INPUT_DATA!$C:$C,"D"))</f>
        <v/>
      </c>
      <c r="BN80" s="741" t="str">
        <f t="shared" si="18"/>
        <v/>
      </c>
      <c r="BO80" s="741" t="str">
        <f>IF($B80=0,"",SUMIFS(INPUT_DATA!O:O,INPUT_DATA!$A:$A,$B80,INPUT_DATA!$C:$C,"D"))</f>
        <v/>
      </c>
      <c r="BP80" s="741" t="str">
        <f t="shared" si="19"/>
        <v/>
      </c>
      <c r="BQ80" s="725" t="str">
        <f>IF($B80=0,"",SUMIFS(INPUT_DATA!Q:Q,INPUT_DATA!$A:$A,$B80,INPUT_DATA!$C:$C,"D"))</f>
        <v/>
      </c>
      <c r="BR80" s="747" t="str">
        <f>IF($B80=0,"",SUMIFS(INPUT_DATA!R:R,INPUT_DATA!$A:$A,$B80,INPUT_DATA!$C:$C,"D"))</f>
        <v/>
      </c>
      <c r="BS80" s="747" t="str">
        <f>IF($B80=0,"",SUMIFS(INPUT_DATA!S:S,INPUT_DATA!$A:$A,$B80,INPUT_DATA!$C:$C,"D"))</f>
        <v/>
      </c>
      <c r="BT80" s="311" t="str">
        <f>IF($B80=0,"",SUMIFS(INPUT_DATA!T:T,INPUT_DATA!$A:$A,$B80,INPUT_DATA!$C:$C,"D"))</f>
        <v/>
      </c>
      <c r="BU80" s="311" t="str">
        <f>IF($B80=0,"",SUMIFS(INPUT_DATA!U:U,INPUT_DATA!$A:$A,$B80,INPUT_DATA!$C:$C,"D"))</f>
        <v/>
      </c>
      <c r="BV80" s="311" t="str">
        <f>IF($B80=0,"",SUMIFS(INPUT_DATA!V:V,INPUT_DATA!$A:$A,$B80,INPUT_DATA!$C:$C,"D"))</f>
        <v/>
      </c>
      <c r="BW80" s="311" t="str">
        <f>IF($B80=0,"",SUMIFS(INPUT_DATA!W:W,INPUT_DATA!$A:$A,$B80,INPUT_DATA!$C:$C,"D"))</f>
        <v/>
      </c>
      <c r="BX80" s="311" t="str">
        <f>IF($B80=0,"",SUMIFS(INPUT_DATA!X:X,INPUT_DATA!$A:$A,$B80,INPUT_DATA!$C:$C,"D"))</f>
        <v/>
      </c>
      <c r="BY80" s="311" t="str">
        <f>IF($B80=0,"",SUMIFS(INPUT_DATA!Y:Y,INPUT_DATA!$A:$A,$B80,INPUT_DATA!$C:$C,"D"))</f>
        <v/>
      </c>
      <c r="BZ80" s="352" t="str">
        <f>IF($B80=0,"",SUMIFS(INPUT_DATA!Z:Z,INPUT_DATA!$A:$A,$B80,INPUT_DATA!$C:$C,"D"))</f>
        <v/>
      </c>
      <c r="CA80" s="352" t="str">
        <f>IF($B80=0,"",SUMIFS(INPUT_DATA!AA:AA,INPUT_DATA!$A:$A,$B80,INPUT_DATA!$C:$C,"D"))</f>
        <v/>
      </c>
      <c r="CB80" s="352" t="str">
        <f>IF($B80=0,"",SUMIFS(INPUT_DATA!AB:AB,INPUT_DATA!$A:$A,$B80,INPUT_DATA!$C:$C,"D"))</f>
        <v/>
      </c>
      <c r="CC80" s="311" t="str">
        <f>IF($B80=0,"",SUMIFS(INPUT_DATA!AC:AC,INPUT_DATA!$A:$A,$B80,INPUT_DATA!$C:$C,"D"))</f>
        <v/>
      </c>
      <c r="CD80" s="311" t="str">
        <f>IF($B80=0,"",SUMIFS(INPUT_DATA!AD:AD,INPUT_DATA!$A:$A,$B80,INPUT_DATA!$C:$C,"D"))</f>
        <v/>
      </c>
      <c r="CE80" s="311" t="str">
        <f>IF($B80=0,"",SUMIFS(INPUT_DATA!AE:AE,INPUT_DATA!$A:$A,$B80,INPUT_DATA!$C:$C,"D"))</f>
        <v/>
      </c>
      <c r="CF80" s="352" t="str">
        <f>IF($B80=0,"",SUMIFS(INPUT_DATA!AF:AF,INPUT_DATA!$A:$A,$B80,INPUT_DATA!$C:$C,"D"))</f>
        <v/>
      </c>
      <c r="CG80" s="352" t="str">
        <f>IF($B80=0,"",SUMIFS(INPUT_DATA!AG:AG,INPUT_DATA!$A:$A,$B80,INPUT_DATA!$C:$C,"D"))</f>
        <v/>
      </c>
      <c r="CH80" s="352" t="str">
        <f>IF($B80=0,"",SUMIFS(INPUT_DATA!AH:AH,INPUT_DATA!$A:$A,$B80,INPUT_DATA!$C:$C,"D"))</f>
        <v/>
      </c>
      <c r="CI80" s="153" t="str">
        <f>IF($B80=0,"",SUMIFS(INPUT_DATA!AI:AI,INPUT_DATA!$A:$A,$B80,INPUT_DATA!$C:$C,"D"))</f>
        <v/>
      </c>
      <c r="CJ80" s="153" t="str">
        <f>IF($B80=0,"",SUMIFS(INPUT_DATA!AJ:AJ,INPUT_DATA!$A:$A,$B80,INPUT_DATA!$C:$C,"D"))</f>
        <v/>
      </c>
      <c r="CK80" s="153" t="str">
        <f>IF($B80=0,"",SUMIFS(INPUT_DATA!AK:AK,INPUT_DATA!$A:$A,$B80,INPUT_DATA!$C:$C,"D"))</f>
        <v/>
      </c>
      <c r="CL80" s="153" t="str">
        <f>IF($B80=0,"",SUMIFS(INPUT_DATA!AL:AL,INPUT_DATA!$A:$A,$B80,INPUT_DATA!$C:$C,"D"))</f>
        <v/>
      </c>
      <c r="CM80" s="153" t="str">
        <f>IF($B80=0,"",SUMIFS(INPUT_DATA!AM:AM,INPUT_DATA!$A:$A,$B80,INPUT_DATA!$C:$C,"D"))</f>
        <v/>
      </c>
      <c r="CN80" s="153" t="str">
        <f>IF($B80=0,"",SUMIFS(INPUT_DATA!AN:AN,INPUT_DATA!$A:$A,$B80,INPUT_DATA!$C:$C,"D"))</f>
        <v/>
      </c>
      <c r="CO80" s="153" t="str">
        <f>IF($B80=0,"",SUMIFS(INPUT_DATA!AO:AO,INPUT_DATA!$A:$A,$B80,INPUT_DATA!$C:$C,"D"))</f>
        <v/>
      </c>
      <c r="CP80" s="153" t="str">
        <f>IF($B80=0,"",SUMIFS(INPUT_DATA!AP:AP,INPUT_DATA!$A:$A,$B80,INPUT_DATA!$C:$C,"D"))</f>
        <v/>
      </c>
      <c r="CQ80" s="153" t="str">
        <f>IF($B80=0,"",SUMIFS(INPUT_DATA!AQ:AQ,INPUT_DATA!$A:$A,$B80,INPUT_DATA!$C:$C,"D"))</f>
        <v/>
      </c>
      <c r="CR80" s="737" t="str">
        <f t="shared" si="32"/>
        <v/>
      </c>
      <c r="CS80" s="737" t="str">
        <f t="shared" si="33"/>
        <v/>
      </c>
      <c r="CT80" s="737" t="str">
        <f t="shared" si="34"/>
        <v/>
      </c>
      <c r="CU80" s="726" t="str">
        <f>IF($B80=0,"",SUMIFS(INPUT_DATA!AR:AR,INPUT_DATA!$A:$A,$B80,INPUT_DATA!$C:$C,"D"))</f>
        <v/>
      </c>
      <c r="CV80" s="726" t="str">
        <f>IF($B80=0,"",SUMIFS(INPUT_DATA!AS:AS,INPUT_DATA!$A:$A,$B80,INPUT_DATA!$C:$C,"D"))</f>
        <v/>
      </c>
      <c r="CW80" s="726" t="str">
        <f>IF($B80=0,"",SUMIFS(INPUT_DATA!AT:AT,INPUT_DATA!$A:$A,$B80,INPUT_DATA!$C:$C,"D"))</f>
        <v/>
      </c>
      <c r="CX80" s="726" t="str">
        <f t="shared" si="35"/>
        <v/>
      </c>
      <c r="CY80" s="737" t="str">
        <f t="shared" si="36"/>
        <v/>
      </c>
      <c r="CZ80" s="748" t="str">
        <f t="shared" si="37"/>
        <v/>
      </c>
      <c r="DA80" s="150"/>
    </row>
    <row r="81" spans="1:105" x14ac:dyDescent="0.2">
      <c r="A81" s="172">
        <f t="shared" si="40"/>
        <v>-34</v>
      </c>
      <c r="B81" s="720">
        <f>INPUT_DATA!BQ68</f>
        <v>0</v>
      </c>
      <c r="C81" s="725" t="str">
        <f>IF($B81=0,"",SUMIFS(INPUT_DATA!D:D,INPUT_DATA!$A:$A,$B81,INPUT_DATA!$C:$C,"S"))</f>
        <v/>
      </c>
      <c r="D81" s="726" t="str">
        <f>IF($B81=0,"",SUMIFS(INPUT_DATA!E:E,INPUT_DATA!$A:$A,$B81,INPUT_DATA!$C:$C,"S"))</f>
        <v/>
      </c>
      <c r="E81" s="727" t="str">
        <f>IF($B81=0,"",SUMIFS(INPUT_DATA!F:F,INPUT_DATA!$A:$A,$B81,INPUT_DATA!$C:$C,"S"))</f>
        <v/>
      </c>
      <c r="F81" s="727" t="str">
        <f>IF($B81=0,"",SUMIFS(INPUT_DATA!G:G,INPUT_DATA!$A:$A,$B81,INPUT_DATA!$C:$C,"S"))</f>
        <v/>
      </c>
      <c r="G81" s="727" t="str">
        <f>IF($B81=0,"",SUMIFS(INPUT_DATA!H:H,INPUT_DATA!$A:$A,$B81,INPUT_DATA!$C:$C,"S"))</f>
        <v/>
      </c>
      <c r="H81" s="727" t="str">
        <f>IF($B81=0,"",SUMIFS(INPUT_DATA!I:I,INPUT_DATA!$A:$A,$B81,INPUT_DATA!$C:$C,"S"))</f>
        <v/>
      </c>
      <c r="I81" s="727" t="str">
        <f>IF($B81=0,"",SUMIFS(INPUT_DATA!J:J,INPUT_DATA!$A:$A,$B81,INPUT_DATA!$C:$C,"S"))</f>
        <v/>
      </c>
      <c r="J81" s="727" t="str">
        <f>IF($B81=0,"",SUMIFS(INPUT_DATA!K:K,INPUT_DATA!$A:$A,$B81,INPUT_DATA!$C:$C,"S"))</f>
        <v/>
      </c>
      <c r="K81" s="727" t="str">
        <f>IF($B81=0,"",SUMIFS(INPUT_DATA!L:L,INPUT_DATA!$A:$A,$B81,INPUT_DATA!$C:$C,"S"))</f>
        <v/>
      </c>
      <c r="L81" s="727" t="str">
        <f>IF($B81=0,"",SUMIFS(INPUT_DATA!M:M,INPUT_DATA!$A:$A,$B81,INPUT_DATA!$C:$C,"S"))</f>
        <v/>
      </c>
      <c r="M81" s="727" t="str">
        <f>IF($B81=0,"",SUMIFS(INPUT_DATA!N:N,INPUT_DATA!$A:$A,$B81,INPUT_DATA!$C:$C,"S"))</f>
        <v/>
      </c>
      <c r="N81" s="727" t="str">
        <f>IF($B81=0,"",SUMIFS(INPUT_DATA!O:O,INPUT_DATA!$A:$A,$B81,INPUT_DATA!$C:$C,"S"))</f>
        <v/>
      </c>
      <c r="O81" s="728" t="str">
        <f t="shared" si="38"/>
        <v/>
      </c>
      <c r="P81" s="729" t="str">
        <f>IF($B81=0,"",SUMIFS(INPUT_DATA!P:P,INPUT_DATA!$A:$A,$B81,INPUT_DATA!$C:$C,"S"))</f>
        <v/>
      </c>
      <c r="Q81" s="729" t="str">
        <f t="shared" si="39"/>
        <v/>
      </c>
      <c r="R81" s="735" t="str">
        <f>IF($B81=0,"",SUMIFS(INPUT_DATA!Q:Q,INPUT_DATA!$A:$A,$B81,INPUT_DATA!$C:$C,"S"))</f>
        <v/>
      </c>
      <c r="S81" s="735" t="str">
        <f>IF($B81=0,"",SUMIFS(INPUT_DATA!R:R,INPUT_DATA!$A:$A,$B81,INPUT_DATA!$C:$C,"S"))</f>
        <v/>
      </c>
      <c r="T81" s="735" t="str">
        <f>IF($B81=0,"",SUMIFS(INPUT_DATA!S:S,INPUT_DATA!$A:$A,$B81,INPUT_DATA!$C:$C,"S"))</f>
        <v/>
      </c>
      <c r="U81" s="312" t="str">
        <f>IF($B81=0,"",SUMIFS(INPUT_DATA!T:T,INPUT_DATA!$A:$A,$B81,INPUT_DATA!$C:$C,"S"))</f>
        <v/>
      </c>
      <c r="V81" s="312" t="str">
        <f>IF($B81=0,"",SUMIFS(INPUT_DATA!U:U,INPUT_DATA!$A:$A,$B81,INPUT_DATA!$C:$C,"S"))</f>
        <v/>
      </c>
      <c r="W81" s="312" t="str">
        <f>IF($B81=0,"",SUMIFS(INPUT_DATA!V:V,INPUT_DATA!$A:$A,$B81,INPUT_DATA!$C:$C,"S"))</f>
        <v/>
      </c>
      <c r="X81" s="312" t="str">
        <f>IF($B81=0,"",SUMIFS(INPUT_DATA!W:W,INPUT_DATA!$A:$A,$B81,INPUT_DATA!$C:$C,"S"))</f>
        <v/>
      </c>
      <c r="Y81" s="312" t="str">
        <f>IF($B81=0,"",SUMIFS(INPUT_DATA!X:X,INPUT_DATA!$A:$A,$B81,INPUT_DATA!$C:$C,"S"))</f>
        <v/>
      </c>
      <c r="Z81" s="312" t="str">
        <f>IF($B81=0,"",SUMIFS(INPUT_DATA!Y:Y,INPUT_DATA!$A:$A,$B81,INPUT_DATA!$C:$C,"S"))</f>
        <v/>
      </c>
      <c r="AA81" s="312" t="str">
        <f>IF($B81=0,"",SUMIFS(INPUT_DATA!Z:Z,INPUT_DATA!$A:$A,$B81,INPUT_DATA!$C:$C,"S"))</f>
        <v/>
      </c>
      <c r="AB81" s="312" t="str">
        <f>IF($B81=0,"",SUMIFS(INPUT_DATA!AA:AA,INPUT_DATA!$A:$A,$B81,INPUT_DATA!$C:$C,"S"))</f>
        <v/>
      </c>
      <c r="AC81" s="312" t="str">
        <f>IF($B81=0,"",SUMIFS(INPUT_DATA!AB:AB,INPUT_DATA!$A:$A,$B81,INPUT_DATA!$C:$C,"S"))</f>
        <v/>
      </c>
      <c r="AD81" s="312" t="str">
        <f>IF($B81=0,"",SUMIFS(INPUT_DATA!AC:AC,INPUT_DATA!$A:$A,$B81,INPUT_DATA!$C:$C,"S"))</f>
        <v/>
      </c>
      <c r="AE81" s="312" t="str">
        <f>IF($B81=0,"",SUMIFS(INPUT_DATA!AD:AD,INPUT_DATA!$A:$A,$B81,INPUT_DATA!$C:$C,"S"))</f>
        <v/>
      </c>
      <c r="AF81" s="312" t="str">
        <f>IF($B81=0,"",SUMIFS(INPUT_DATA!AE:AE,INPUT_DATA!$A:$A,$B81,INPUT_DATA!$C:$C,"S"))</f>
        <v/>
      </c>
      <c r="AG81" s="312" t="str">
        <f>IF($B81=0,"",SUMIFS(INPUT_DATA!AF:AF,INPUT_DATA!$A:$A,$B81,INPUT_DATA!$C:$C,"S"))</f>
        <v/>
      </c>
      <c r="AH81" s="312" t="str">
        <f>IF($B81=0,"",SUMIFS(INPUT_DATA!AG:AG,INPUT_DATA!$A:$A,$B81,INPUT_DATA!$C:$C,"S"))</f>
        <v/>
      </c>
      <c r="AI81" s="312" t="str">
        <f>IF($B81=0,"",SUMIFS(INPUT_DATA!AH:AH,INPUT_DATA!$A:$A,$B81,INPUT_DATA!$C:$C,"S"))</f>
        <v/>
      </c>
      <c r="AJ81" s="312" t="str">
        <f>IF($B81=0,"",SUMIFS(INPUT_DATA!AI:AI,INPUT_DATA!$A:$A,$B81,INPUT_DATA!$C:$C,"S"))</f>
        <v/>
      </c>
      <c r="AK81" s="312" t="str">
        <f>IF($B81=0,"",SUMIFS(INPUT_DATA!AJ:AJ,INPUT_DATA!$A:$A,$B81,INPUT_DATA!$C:$C,"S"))</f>
        <v/>
      </c>
      <c r="AL81" s="312" t="str">
        <f>IF($B81=0,"",SUMIFS(INPUT_DATA!AK:AK,INPUT_DATA!$A:$A,$B81,INPUT_DATA!$C:$C,"S"))</f>
        <v/>
      </c>
      <c r="AM81" s="312" t="str">
        <f>IF($B81=0,"",SUMIFS(INPUT_DATA!AL:AL,INPUT_DATA!$A:$A,$B81,INPUT_DATA!$C:$C,"S"))</f>
        <v/>
      </c>
      <c r="AN81" s="312" t="str">
        <f>IF($B81=0,"",SUMIFS(INPUT_DATA!AM:AM,INPUT_DATA!$A:$A,$B81,INPUT_DATA!$C:$C,"S"))</f>
        <v/>
      </c>
      <c r="AO81" s="312" t="str">
        <f>IF($B81=0,"",SUMIFS(INPUT_DATA!AN:AN,INPUT_DATA!$A:$A,$B81,INPUT_DATA!$C:$C,"S"))</f>
        <v/>
      </c>
      <c r="AP81" s="312" t="str">
        <f>IF($B81=0,"",SUMIFS(INPUT_DATA!AO:AO,INPUT_DATA!$A:$A,$B81,INPUT_DATA!$C:$C,"S"))</f>
        <v/>
      </c>
      <c r="AQ81" s="312" t="str">
        <f>IF($B81=0,"",SUMIFS(INPUT_DATA!AP:AP,INPUT_DATA!$A:$A,$B81,INPUT_DATA!$C:$C,"S"))</f>
        <v/>
      </c>
      <c r="AR81" s="312" t="str">
        <f>IF($B81=0,"",SUMIFS(INPUT_DATA!AQ:AQ,INPUT_DATA!$A:$A,$B81,INPUT_DATA!$C:$C,"S"))</f>
        <v/>
      </c>
      <c r="AS81" s="736" t="str">
        <f t="shared" si="29"/>
        <v/>
      </c>
      <c r="AT81" s="737" t="str">
        <f t="shared" si="30"/>
        <v/>
      </c>
      <c r="AU81" s="738" t="str">
        <f t="shared" si="31"/>
        <v/>
      </c>
      <c r="AV81" s="736" t="str">
        <f>IF($B81=0,"",SUMIFS(INPUT_DATA!AR:AR,INPUT_DATA!$A:$A,$B81,INPUT_DATA!$C:$C,"S"))</f>
        <v/>
      </c>
      <c r="AW81" s="737" t="str">
        <f>IF($B81=0,"",SUMIFS(INPUT_DATA!AS:AS,INPUT_DATA!$A:$A,$B81,INPUT_DATA!$C:$C,"S"))</f>
        <v/>
      </c>
      <c r="AX81" s="738" t="str">
        <f>IF($B81=0,"",SUMIFS(INPUT_DATA!AT:AT,INPUT_DATA!$A:$A,$B81,INPUT_DATA!$C:$C,"S"))</f>
        <v/>
      </c>
      <c r="AY81" s="736" t="str">
        <f t="shared" si="15"/>
        <v/>
      </c>
      <c r="AZ81" s="737" t="str">
        <f t="shared" si="16"/>
        <v/>
      </c>
      <c r="BA81" s="738" t="str">
        <f t="shared" si="17"/>
        <v/>
      </c>
      <c r="BB81" s="150"/>
      <c r="BC81" s="725" t="str">
        <f>IF($B81=0,"",SUMIFS(INPUT_DATA!D:D,INPUT_DATA!$A:$A,$B81,INPUT_DATA!$C:$C,"D"))</f>
        <v/>
      </c>
      <c r="BD81" s="311" t="str">
        <f>IF($B81=0,"",SUMIFS(INPUT_DATA!F:F,INPUT_DATA!$A:$A,$B81,INPUT_DATA!$C:$C,"D"))</f>
        <v/>
      </c>
      <c r="BE81" s="311" t="str">
        <f>IF($B81=0,"",SUMIFS(INPUT_DATA!G:G,INPUT_DATA!$A:$A,$B81,INPUT_DATA!$C:$C,"D"))</f>
        <v/>
      </c>
      <c r="BF81" s="311" t="str">
        <f>IF($B81=0,"",SUMIFS(INPUT_DATA!H:H,INPUT_DATA!$A:$A,$B81,INPUT_DATA!$C:$C,"D"))</f>
        <v/>
      </c>
      <c r="BG81" s="311" t="str">
        <f>IF($B81=0,"",SUMIFS(INPUT_DATA!I:I,INPUT_DATA!$A:$A,$B81,INPUT_DATA!$C:$C,"D"))</f>
        <v/>
      </c>
      <c r="BH81" s="311" t="str">
        <f>IF($B81=0,"",SUMIFS(INPUT_DATA!J:J,INPUT_DATA!$A:$A,$B81,INPUT_DATA!$C:$C,"D"))</f>
        <v/>
      </c>
      <c r="BI81" s="311" t="str">
        <f>IF($B81=0,"",SUMIFS(INPUT_DATA!K:K,INPUT_DATA!$A:$A,$B81,INPUT_DATA!$C:$C,"D"))</f>
        <v/>
      </c>
      <c r="BJ81" s="311" t="str">
        <f>IF($B81=0,"",SUMIFS(INPUT_DATA!L:L,INPUT_DATA!$A:$A,$B81,INPUT_DATA!$C:$C,"D"))</f>
        <v/>
      </c>
      <c r="BK81" s="311" t="str">
        <f>IF($B81=0,"",SUMIFS(INPUT_DATA!M:M,INPUT_DATA!$A:$A,$B81,INPUT_DATA!$C:$C,"D"))</f>
        <v/>
      </c>
      <c r="BL81" s="311" t="str">
        <f>IF($B81=0,"",SUMIFS(INPUT_DATA!N:N,INPUT_DATA!$A:$A,$B81,INPUT_DATA!$C:$C,"D"))</f>
        <v/>
      </c>
      <c r="BM81" s="311" t="str">
        <f>IF($B81=0,"",SUMIFS(INPUT_DATA!O:O,INPUT_DATA!$A:$A,$B81,INPUT_DATA!$C:$C,"D"))</f>
        <v/>
      </c>
      <c r="BN81" s="741" t="str">
        <f t="shared" si="18"/>
        <v/>
      </c>
      <c r="BO81" s="741" t="str">
        <f>IF($B81=0,"",SUMIFS(INPUT_DATA!O:O,INPUT_DATA!$A:$A,$B81,INPUT_DATA!$C:$C,"D"))</f>
        <v/>
      </c>
      <c r="BP81" s="741" t="str">
        <f t="shared" si="19"/>
        <v/>
      </c>
      <c r="BQ81" s="725" t="str">
        <f>IF($B81=0,"",SUMIFS(INPUT_DATA!Q:Q,INPUT_DATA!$A:$A,$B81,INPUT_DATA!$C:$C,"D"))</f>
        <v/>
      </c>
      <c r="BR81" s="747" t="str">
        <f>IF($B81=0,"",SUMIFS(INPUT_DATA!R:R,INPUT_DATA!$A:$A,$B81,INPUT_DATA!$C:$C,"D"))</f>
        <v/>
      </c>
      <c r="BS81" s="747" t="str">
        <f>IF($B81=0,"",SUMIFS(INPUT_DATA!S:S,INPUT_DATA!$A:$A,$B81,INPUT_DATA!$C:$C,"D"))</f>
        <v/>
      </c>
      <c r="BT81" s="311" t="str">
        <f>IF($B81=0,"",SUMIFS(INPUT_DATA!T:T,INPUT_DATA!$A:$A,$B81,INPUT_DATA!$C:$C,"D"))</f>
        <v/>
      </c>
      <c r="BU81" s="311" t="str">
        <f>IF($B81=0,"",SUMIFS(INPUT_DATA!U:U,INPUT_DATA!$A:$A,$B81,INPUT_DATA!$C:$C,"D"))</f>
        <v/>
      </c>
      <c r="BV81" s="311" t="str">
        <f>IF($B81=0,"",SUMIFS(INPUT_DATA!V:V,INPUT_DATA!$A:$A,$B81,INPUT_DATA!$C:$C,"D"))</f>
        <v/>
      </c>
      <c r="BW81" s="311" t="str">
        <f>IF($B81=0,"",SUMIFS(INPUT_DATA!W:W,INPUT_DATA!$A:$A,$B81,INPUT_DATA!$C:$C,"D"))</f>
        <v/>
      </c>
      <c r="BX81" s="311" t="str">
        <f>IF($B81=0,"",SUMIFS(INPUT_DATA!X:X,INPUT_DATA!$A:$A,$B81,INPUT_DATA!$C:$C,"D"))</f>
        <v/>
      </c>
      <c r="BY81" s="311" t="str">
        <f>IF($B81=0,"",SUMIFS(INPUT_DATA!Y:Y,INPUT_DATA!$A:$A,$B81,INPUT_DATA!$C:$C,"D"))</f>
        <v/>
      </c>
      <c r="BZ81" s="352" t="str">
        <f>IF($B81=0,"",SUMIFS(INPUT_DATA!Z:Z,INPUT_DATA!$A:$A,$B81,INPUT_DATA!$C:$C,"D"))</f>
        <v/>
      </c>
      <c r="CA81" s="352" t="str">
        <f>IF($B81=0,"",SUMIFS(INPUT_DATA!AA:AA,INPUT_DATA!$A:$A,$B81,INPUT_DATA!$C:$C,"D"))</f>
        <v/>
      </c>
      <c r="CB81" s="352" t="str">
        <f>IF($B81=0,"",SUMIFS(INPUT_DATA!AB:AB,INPUT_DATA!$A:$A,$B81,INPUT_DATA!$C:$C,"D"))</f>
        <v/>
      </c>
      <c r="CC81" s="311" t="str">
        <f>IF($B81=0,"",SUMIFS(INPUT_DATA!AC:AC,INPUT_DATA!$A:$A,$B81,INPUT_DATA!$C:$C,"D"))</f>
        <v/>
      </c>
      <c r="CD81" s="311" t="str">
        <f>IF($B81=0,"",SUMIFS(INPUT_DATA!AD:AD,INPUT_DATA!$A:$A,$B81,INPUT_DATA!$C:$C,"D"))</f>
        <v/>
      </c>
      <c r="CE81" s="311" t="str">
        <f>IF($B81=0,"",SUMIFS(INPUT_DATA!AE:AE,INPUT_DATA!$A:$A,$B81,INPUT_DATA!$C:$C,"D"))</f>
        <v/>
      </c>
      <c r="CF81" s="352" t="str">
        <f>IF($B81=0,"",SUMIFS(INPUT_DATA!AF:AF,INPUT_DATA!$A:$A,$B81,INPUT_DATA!$C:$C,"D"))</f>
        <v/>
      </c>
      <c r="CG81" s="352" t="str">
        <f>IF($B81=0,"",SUMIFS(INPUT_DATA!AG:AG,INPUT_DATA!$A:$A,$B81,INPUT_DATA!$C:$C,"D"))</f>
        <v/>
      </c>
      <c r="CH81" s="352" t="str">
        <f>IF($B81=0,"",SUMIFS(INPUT_DATA!AH:AH,INPUT_DATA!$A:$A,$B81,INPUT_DATA!$C:$C,"D"))</f>
        <v/>
      </c>
      <c r="CI81" s="153" t="str">
        <f>IF($B81=0,"",SUMIFS(INPUT_DATA!AI:AI,INPUT_DATA!$A:$A,$B81,INPUT_DATA!$C:$C,"D"))</f>
        <v/>
      </c>
      <c r="CJ81" s="153" t="str">
        <f>IF($B81=0,"",SUMIFS(INPUT_DATA!AJ:AJ,INPUT_DATA!$A:$A,$B81,INPUT_DATA!$C:$C,"D"))</f>
        <v/>
      </c>
      <c r="CK81" s="153" t="str">
        <f>IF($B81=0,"",SUMIFS(INPUT_DATA!AK:AK,INPUT_DATA!$A:$A,$B81,INPUT_DATA!$C:$C,"D"))</f>
        <v/>
      </c>
      <c r="CL81" s="153" t="str">
        <f>IF($B81=0,"",SUMIFS(INPUT_DATA!AL:AL,INPUT_DATA!$A:$A,$B81,INPUT_DATA!$C:$C,"D"))</f>
        <v/>
      </c>
      <c r="CM81" s="153" t="str">
        <f>IF($B81=0,"",SUMIFS(INPUT_DATA!AM:AM,INPUT_DATA!$A:$A,$B81,INPUT_DATA!$C:$C,"D"))</f>
        <v/>
      </c>
      <c r="CN81" s="153" t="str">
        <f>IF($B81=0,"",SUMIFS(INPUT_DATA!AN:AN,INPUT_DATA!$A:$A,$B81,INPUT_DATA!$C:$C,"D"))</f>
        <v/>
      </c>
      <c r="CO81" s="153" t="str">
        <f>IF($B81=0,"",SUMIFS(INPUT_DATA!AO:AO,INPUT_DATA!$A:$A,$B81,INPUT_DATA!$C:$C,"D"))</f>
        <v/>
      </c>
      <c r="CP81" s="153" t="str">
        <f>IF($B81=0,"",SUMIFS(INPUT_DATA!AP:AP,INPUT_DATA!$A:$A,$B81,INPUT_DATA!$C:$C,"D"))</f>
        <v/>
      </c>
      <c r="CQ81" s="153" t="str">
        <f>IF($B81=0,"",SUMIFS(INPUT_DATA!AQ:AQ,INPUT_DATA!$A:$A,$B81,INPUT_DATA!$C:$C,"D"))</f>
        <v/>
      </c>
      <c r="CR81" s="737" t="str">
        <f t="shared" si="32"/>
        <v/>
      </c>
      <c r="CS81" s="737" t="str">
        <f t="shared" si="33"/>
        <v/>
      </c>
      <c r="CT81" s="737" t="str">
        <f t="shared" si="34"/>
        <v/>
      </c>
      <c r="CU81" s="726" t="str">
        <f>IF($B81=0,"",SUMIFS(INPUT_DATA!AR:AR,INPUT_DATA!$A:$A,$B81,INPUT_DATA!$C:$C,"D"))</f>
        <v/>
      </c>
      <c r="CV81" s="726" t="str">
        <f>IF($B81=0,"",SUMIFS(INPUT_DATA!AS:AS,INPUT_DATA!$A:$A,$B81,INPUT_DATA!$C:$C,"D"))</f>
        <v/>
      </c>
      <c r="CW81" s="726" t="str">
        <f>IF($B81=0,"",SUMIFS(INPUT_DATA!AT:AT,INPUT_DATA!$A:$A,$B81,INPUT_DATA!$C:$C,"D"))</f>
        <v/>
      </c>
      <c r="CX81" s="726" t="str">
        <f t="shared" si="35"/>
        <v/>
      </c>
      <c r="CY81" s="737" t="str">
        <f t="shared" si="36"/>
        <v/>
      </c>
      <c r="CZ81" s="748" t="str">
        <f t="shared" si="37"/>
        <v/>
      </c>
      <c r="DA81" s="150"/>
    </row>
    <row r="82" spans="1:105" x14ac:dyDescent="0.2">
      <c r="A82" s="172">
        <f t="shared" si="40"/>
        <v>-35</v>
      </c>
      <c r="B82" s="720">
        <f>INPUT_DATA!BQ69</f>
        <v>0</v>
      </c>
      <c r="C82" s="725" t="str">
        <f>IF($B82=0,"",SUMIFS(INPUT_DATA!D:D,INPUT_DATA!$A:$A,$B82,INPUT_DATA!$C:$C,"S"))</f>
        <v/>
      </c>
      <c r="D82" s="726" t="str">
        <f>IF($B82=0,"",SUMIFS(INPUT_DATA!E:E,INPUT_DATA!$A:$A,$B82,INPUT_DATA!$C:$C,"S"))</f>
        <v/>
      </c>
      <c r="E82" s="727" t="str">
        <f>IF($B82=0,"",SUMIFS(INPUT_DATA!F:F,INPUT_DATA!$A:$A,$B82,INPUT_DATA!$C:$C,"S"))</f>
        <v/>
      </c>
      <c r="F82" s="727" t="str">
        <f>IF($B82=0,"",SUMIFS(INPUT_DATA!G:G,INPUT_DATA!$A:$A,$B82,INPUT_DATA!$C:$C,"S"))</f>
        <v/>
      </c>
      <c r="G82" s="727" t="str">
        <f>IF($B82=0,"",SUMIFS(INPUT_DATA!H:H,INPUT_DATA!$A:$A,$B82,INPUT_DATA!$C:$C,"S"))</f>
        <v/>
      </c>
      <c r="H82" s="727" t="str">
        <f>IF($B82=0,"",SUMIFS(INPUT_DATA!I:I,INPUT_DATA!$A:$A,$B82,INPUT_DATA!$C:$C,"S"))</f>
        <v/>
      </c>
      <c r="I82" s="727" t="str">
        <f>IF($B82=0,"",SUMIFS(INPUT_DATA!J:J,INPUT_DATA!$A:$A,$B82,INPUT_DATA!$C:$C,"S"))</f>
        <v/>
      </c>
      <c r="J82" s="727" t="str">
        <f>IF($B82=0,"",SUMIFS(INPUT_DATA!K:K,INPUT_DATA!$A:$A,$B82,INPUT_DATA!$C:$C,"S"))</f>
        <v/>
      </c>
      <c r="K82" s="727" t="str">
        <f>IF($B82=0,"",SUMIFS(INPUT_DATA!L:L,INPUT_DATA!$A:$A,$B82,INPUT_DATA!$C:$C,"S"))</f>
        <v/>
      </c>
      <c r="L82" s="727" t="str">
        <f>IF($B82=0,"",SUMIFS(INPUT_DATA!M:M,INPUT_DATA!$A:$A,$B82,INPUT_DATA!$C:$C,"S"))</f>
        <v/>
      </c>
      <c r="M82" s="727" t="str">
        <f>IF($B82=0,"",SUMIFS(INPUT_DATA!N:N,INPUT_DATA!$A:$A,$B82,INPUT_DATA!$C:$C,"S"))</f>
        <v/>
      </c>
      <c r="N82" s="727" t="str">
        <f>IF($B82=0,"",SUMIFS(INPUT_DATA!O:O,INPUT_DATA!$A:$A,$B82,INPUT_DATA!$C:$C,"S"))</f>
        <v/>
      </c>
      <c r="O82" s="728" t="str">
        <f t="shared" si="38"/>
        <v/>
      </c>
      <c r="P82" s="729" t="str">
        <f>IF($B82=0,"",SUMIFS(INPUT_DATA!P:P,INPUT_DATA!$A:$A,$B82,INPUT_DATA!$C:$C,"S"))</f>
        <v/>
      </c>
      <c r="Q82" s="729" t="str">
        <f t="shared" si="39"/>
        <v/>
      </c>
      <c r="R82" s="735" t="str">
        <f>IF($B82=0,"",SUMIFS(INPUT_DATA!Q:Q,INPUT_DATA!$A:$A,$B82,INPUT_DATA!$C:$C,"S"))</f>
        <v/>
      </c>
      <c r="S82" s="735" t="str">
        <f>IF($B82=0,"",SUMIFS(INPUT_DATA!R:R,INPUT_DATA!$A:$A,$B82,INPUT_DATA!$C:$C,"S"))</f>
        <v/>
      </c>
      <c r="T82" s="735" t="str">
        <f>IF($B82=0,"",SUMIFS(INPUT_DATA!S:S,INPUT_DATA!$A:$A,$B82,INPUT_DATA!$C:$C,"S"))</f>
        <v/>
      </c>
      <c r="U82" s="312" t="str">
        <f>IF($B82=0,"",SUMIFS(INPUT_DATA!T:T,INPUT_DATA!$A:$A,$B82,INPUT_DATA!$C:$C,"S"))</f>
        <v/>
      </c>
      <c r="V82" s="312" t="str">
        <f>IF($B82=0,"",SUMIFS(INPUT_DATA!U:U,INPUT_DATA!$A:$A,$B82,INPUT_DATA!$C:$C,"S"))</f>
        <v/>
      </c>
      <c r="W82" s="312" t="str">
        <f>IF($B82=0,"",SUMIFS(INPUT_DATA!V:V,INPUT_DATA!$A:$A,$B82,INPUT_DATA!$C:$C,"S"))</f>
        <v/>
      </c>
      <c r="X82" s="312" t="str">
        <f>IF($B82=0,"",SUMIFS(INPUT_DATA!W:W,INPUT_DATA!$A:$A,$B82,INPUT_DATA!$C:$C,"S"))</f>
        <v/>
      </c>
      <c r="Y82" s="312" t="str">
        <f>IF($B82=0,"",SUMIFS(INPUT_DATA!X:X,INPUT_DATA!$A:$A,$B82,INPUT_DATA!$C:$C,"S"))</f>
        <v/>
      </c>
      <c r="Z82" s="312" t="str">
        <f>IF($B82=0,"",SUMIFS(INPUT_DATA!Y:Y,INPUT_DATA!$A:$A,$B82,INPUT_DATA!$C:$C,"S"))</f>
        <v/>
      </c>
      <c r="AA82" s="312" t="str">
        <f>IF($B82=0,"",SUMIFS(INPUT_DATA!Z:Z,INPUT_DATA!$A:$A,$B82,INPUT_DATA!$C:$C,"S"))</f>
        <v/>
      </c>
      <c r="AB82" s="312" t="str">
        <f>IF($B82=0,"",SUMIFS(INPUT_DATA!AA:AA,INPUT_DATA!$A:$A,$B82,INPUT_DATA!$C:$C,"S"))</f>
        <v/>
      </c>
      <c r="AC82" s="312" t="str">
        <f>IF($B82=0,"",SUMIFS(INPUT_DATA!AB:AB,INPUT_DATA!$A:$A,$B82,INPUT_DATA!$C:$C,"S"))</f>
        <v/>
      </c>
      <c r="AD82" s="312" t="str">
        <f>IF($B82=0,"",SUMIFS(INPUT_DATA!AC:AC,INPUT_DATA!$A:$A,$B82,INPUT_DATA!$C:$C,"S"))</f>
        <v/>
      </c>
      <c r="AE82" s="312" t="str">
        <f>IF($B82=0,"",SUMIFS(INPUT_DATA!AD:AD,INPUT_DATA!$A:$A,$B82,INPUT_DATA!$C:$C,"S"))</f>
        <v/>
      </c>
      <c r="AF82" s="312" t="str">
        <f>IF($B82=0,"",SUMIFS(INPUT_DATA!AE:AE,INPUT_DATA!$A:$A,$B82,INPUT_DATA!$C:$C,"S"))</f>
        <v/>
      </c>
      <c r="AG82" s="312" t="str">
        <f>IF($B82=0,"",SUMIFS(INPUT_DATA!AF:AF,INPUT_DATA!$A:$A,$B82,INPUT_DATA!$C:$C,"S"))</f>
        <v/>
      </c>
      <c r="AH82" s="312" t="str">
        <f>IF($B82=0,"",SUMIFS(INPUT_DATA!AG:AG,INPUT_DATA!$A:$A,$B82,INPUT_DATA!$C:$C,"S"))</f>
        <v/>
      </c>
      <c r="AI82" s="312" t="str">
        <f>IF($B82=0,"",SUMIFS(INPUT_DATA!AH:AH,INPUT_DATA!$A:$A,$B82,INPUT_DATA!$C:$C,"S"))</f>
        <v/>
      </c>
      <c r="AJ82" s="312" t="str">
        <f>IF($B82=0,"",SUMIFS(INPUT_DATA!AI:AI,INPUT_DATA!$A:$A,$B82,INPUT_DATA!$C:$C,"S"))</f>
        <v/>
      </c>
      <c r="AK82" s="312" t="str">
        <f>IF($B82=0,"",SUMIFS(INPUT_DATA!AJ:AJ,INPUT_DATA!$A:$A,$B82,INPUT_DATA!$C:$C,"S"))</f>
        <v/>
      </c>
      <c r="AL82" s="312" t="str">
        <f>IF($B82=0,"",SUMIFS(INPUT_DATA!AK:AK,INPUT_DATA!$A:$A,$B82,INPUT_DATA!$C:$C,"S"))</f>
        <v/>
      </c>
      <c r="AM82" s="312" t="str">
        <f>IF($B82=0,"",SUMIFS(INPUT_DATA!AL:AL,INPUT_DATA!$A:$A,$B82,INPUT_DATA!$C:$C,"S"))</f>
        <v/>
      </c>
      <c r="AN82" s="312" t="str">
        <f>IF($B82=0,"",SUMIFS(INPUT_DATA!AM:AM,INPUT_DATA!$A:$A,$B82,INPUT_DATA!$C:$C,"S"))</f>
        <v/>
      </c>
      <c r="AO82" s="312" t="str">
        <f>IF($B82=0,"",SUMIFS(INPUT_DATA!AN:AN,INPUT_DATA!$A:$A,$B82,INPUT_DATA!$C:$C,"S"))</f>
        <v/>
      </c>
      <c r="AP82" s="312" t="str">
        <f>IF($B82=0,"",SUMIFS(INPUT_DATA!AO:AO,INPUT_DATA!$A:$A,$B82,INPUT_DATA!$C:$C,"S"))</f>
        <v/>
      </c>
      <c r="AQ82" s="312" t="str">
        <f>IF($B82=0,"",SUMIFS(INPUT_DATA!AP:AP,INPUT_DATA!$A:$A,$B82,INPUT_DATA!$C:$C,"S"))</f>
        <v/>
      </c>
      <c r="AR82" s="312" t="str">
        <f>IF($B82=0,"",SUMIFS(INPUT_DATA!AQ:AQ,INPUT_DATA!$A:$A,$B82,INPUT_DATA!$C:$C,"S"))</f>
        <v/>
      </c>
      <c r="AS82" s="736" t="str">
        <f t="shared" si="29"/>
        <v/>
      </c>
      <c r="AT82" s="737" t="str">
        <f t="shared" si="30"/>
        <v/>
      </c>
      <c r="AU82" s="738" t="str">
        <f t="shared" si="31"/>
        <v/>
      </c>
      <c r="AV82" s="736" t="str">
        <f>IF($B82=0,"",SUMIFS(INPUT_DATA!AR:AR,INPUT_DATA!$A:$A,$B82,INPUT_DATA!$C:$C,"S"))</f>
        <v/>
      </c>
      <c r="AW82" s="737" t="str">
        <f>IF($B82=0,"",SUMIFS(INPUT_DATA!AS:AS,INPUT_DATA!$A:$A,$B82,INPUT_DATA!$C:$C,"S"))</f>
        <v/>
      </c>
      <c r="AX82" s="738" t="str">
        <f>IF($B82=0,"",SUMIFS(INPUT_DATA!AT:AT,INPUT_DATA!$A:$A,$B82,INPUT_DATA!$C:$C,"S"))</f>
        <v/>
      </c>
      <c r="AY82" s="736" t="str">
        <f t="shared" si="15"/>
        <v/>
      </c>
      <c r="AZ82" s="737" t="str">
        <f t="shared" si="16"/>
        <v/>
      </c>
      <c r="BA82" s="738" t="str">
        <f t="shared" si="17"/>
        <v/>
      </c>
      <c r="BB82" s="150"/>
      <c r="BC82" s="725" t="str">
        <f>IF($B82=0,"",SUMIFS(INPUT_DATA!D:D,INPUT_DATA!$A:$A,$B82,INPUT_DATA!$C:$C,"D"))</f>
        <v/>
      </c>
      <c r="BD82" s="311" t="str">
        <f>IF($B82=0,"",SUMIFS(INPUT_DATA!F:F,INPUT_DATA!$A:$A,$B82,INPUT_DATA!$C:$C,"D"))</f>
        <v/>
      </c>
      <c r="BE82" s="311" t="str">
        <f>IF($B82=0,"",SUMIFS(INPUT_DATA!G:G,INPUT_DATA!$A:$A,$B82,INPUT_DATA!$C:$C,"D"))</f>
        <v/>
      </c>
      <c r="BF82" s="311" t="str">
        <f>IF($B82=0,"",SUMIFS(INPUT_DATA!H:H,INPUT_DATA!$A:$A,$B82,INPUT_DATA!$C:$C,"D"))</f>
        <v/>
      </c>
      <c r="BG82" s="311" t="str">
        <f>IF($B82=0,"",SUMIFS(INPUT_DATA!I:I,INPUT_DATA!$A:$A,$B82,INPUT_DATA!$C:$C,"D"))</f>
        <v/>
      </c>
      <c r="BH82" s="311" t="str">
        <f>IF($B82=0,"",SUMIFS(INPUT_DATA!J:J,INPUT_DATA!$A:$A,$B82,INPUT_DATA!$C:$C,"D"))</f>
        <v/>
      </c>
      <c r="BI82" s="311" t="str">
        <f>IF($B82=0,"",SUMIFS(INPUT_DATA!K:K,INPUT_DATA!$A:$A,$B82,INPUT_DATA!$C:$C,"D"))</f>
        <v/>
      </c>
      <c r="BJ82" s="311" t="str">
        <f>IF($B82=0,"",SUMIFS(INPUT_DATA!L:L,INPUT_DATA!$A:$A,$B82,INPUT_DATA!$C:$C,"D"))</f>
        <v/>
      </c>
      <c r="BK82" s="311" t="str">
        <f>IF($B82=0,"",SUMIFS(INPUT_DATA!M:M,INPUT_DATA!$A:$A,$B82,INPUT_DATA!$C:$C,"D"))</f>
        <v/>
      </c>
      <c r="BL82" s="311" t="str">
        <f>IF($B82=0,"",SUMIFS(INPUT_DATA!N:N,INPUT_DATA!$A:$A,$B82,INPUT_DATA!$C:$C,"D"))</f>
        <v/>
      </c>
      <c r="BM82" s="311" t="str">
        <f>IF($B82=0,"",SUMIFS(INPUT_DATA!O:O,INPUT_DATA!$A:$A,$B82,INPUT_DATA!$C:$C,"D"))</f>
        <v/>
      </c>
      <c r="BN82" s="741" t="str">
        <f t="shared" si="18"/>
        <v/>
      </c>
      <c r="BO82" s="741" t="str">
        <f>IF($B82=0,"",SUMIFS(INPUT_DATA!O:O,INPUT_DATA!$A:$A,$B82,INPUT_DATA!$C:$C,"D"))</f>
        <v/>
      </c>
      <c r="BP82" s="741" t="str">
        <f t="shared" si="19"/>
        <v/>
      </c>
      <c r="BQ82" s="725" t="str">
        <f>IF($B82=0,"",SUMIFS(INPUT_DATA!Q:Q,INPUT_DATA!$A:$A,$B82,INPUT_DATA!$C:$C,"D"))</f>
        <v/>
      </c>
      <c r="BR82" s="747" t="str">
        <f>IF($B82=0,"",SUMIFS(INPUT_DATA!R:R,INPUT_DATA!$A:$A,$B82,INPUT_DATA!$C:$C,"D"))</f>
        <v/>
      </c>
      <c r="BS82" s="747" t="str">
        <f>IF($B82=0,"",SUMIFS(INPUT_DATA!S:S,INPUT_DATA!$A:$A,$B82,INPUT_DATA!$C:$C,"D"))</f>
        <v/>
      </c>
      <c r="BT82" s="311" t="str">
        <f>IF($B82=0,"",SUMIFS(INPUT_DATA!T:T,INPUT_DATA!$A:$A,$B82,INPUT_DATA!$C:$C,"D"))</f>
        <v/>
      </c>
      <c r="BU82" s="311" t="str">
        <f>IF($B82=0,"",SUMIFS(INPUT_DATA!U:U,INPUT_DATA!$A:$A,$B82,INPUT_DATA!$C:$C,"D"))</f>
        <v/>
      </c>
      <c r="BV82" s="311" t="str">
        <f>IF($B82=0,"",SUMIFS(INPUT_DATA!V:V,INPUT_DATA!$A:$A,$B82,INPUT_DATA!$C:$C,"D"))</f>
        <v/>
      </c>
      <c r="BW82" s="311" t="str">
        <f>IF($B82=0,"",SUMIFS(INPUT_DATA!W:W,INPUT_DATA!$A:$A,$B82,INPUT_DATA!$C:$C,"D"))</f>
        <v/>
      </c>
      <c r="BX82" s="311" t="str">
        <f>IF($B82=0,"",SUMIFS(INPUT_DATA!X:X,INPUT_DATA!$A:$A,$B82,INPUT_DATA!$C:$C,"D"))</f>
        <v/>
      </c>
      <c r="BY82" s="311" t="str">
        <f>IF($B82=0,"",SUMIFS(INPUT_DATA!Y:Y,INPUT_DATA!$A:$A,$B82,INPUT_DATA!$C:$C,"D"))</f>
        <v/>
      </c>
      <c r="BZ82" s="352" t="str">
        <f>IF($B82=0,"",SUMIFS(INPUT_DATA!Z:Z,INPUT_DATA!$A:$A,$B82,INPUT_DATA!$C:$C,"D"))</f>
        <v/>
      </c>
      <c r="CA82" s="352" t="str">
        <f>IF($B82=0,"",SUMIFS(INPUT_DATA!AA:AA,INPUT_DATA!$A:$A,$B82,INPUT_DATA!$C:$C,"D"))</f>
        <v/>
      </c>
      <c r="CB82" s="352" t="str">
        <f>IF($B82=0,"",SUMIFS(INPUT_DATA!AB:AB,INPUT_DATA!$A:$A,$B82,INPUT_DATA!$C:$C,"D"))</f>
        <v/>
      </c>
      <c r="CC82" s="311" t="str">
        <f>IF($B82=0,"",SUMIFS(INPUT_DATA!AC:AC,INPUT_DATA!$A:$A,$B82,INPUT_DATA!$C:$C,"D"))</f>
        <v/>
      </c>
      <c r="CD82" s="311" t="str">
        <f>IF($B82=0,"",SUMIFS(INPUT_DATA!AD:AD,INPUT_DATA!$A:$A,$B82,INPUT_DATA!$C:$C,"D"))</f>
        <v/>
      </c>
      <c r="CE82" s="311" t="str">
        <f>IF($B82=0,"",SUMIFS(INPUT_DATA!AE:AE,INPUT_DATA!$A:$A,$B82,INPUT_DATA!$C:$C,"D"))</f>
        <v/>
      </c>
      <c r="CF82" s="352" t="str">
        <f>IF($B82=0,"",SUMIFS(INPUT_DATA!AF:AF,INPUT_DATA!$A:$A,$B82,INPUT_DATA!$C:$C,"D"))</f>
        <v/>
      </c>
      <c r="CG82" s="352" t="str">
        <f>IF($B82=0,"",SUMIFS(INPUT_DATA!AG:AG,INPUT_DATA!$A:$A,$B82,INPUT_DATA!$C:$C,"D"))</f>
        <v/>
      </c>
      <c r="CH82" s="352" t="str">
        <f>IF($B82=0,"",SUMIFS(INPUT_DATA!AH:AH,INPUT_DATA!$A:$A,$B82,INPUT_DATA!$C:$C,"D"))</f>
        <v/>
      </c>
      <c r="CI82" s="153" t="str">
        <f>IF($B82=0,"",SUMIFS(INPUT_DATA!AI:AI,INPUT_DATA!$A:$A,$B82,INPUT_DATA!$C:$C,"D"))</f>
        <v/>
      </c>
      <c r="CJ82" s="153" t="str">
        <f>IF($B82=0,"",SUMIFS(INPUT_DATA!AJ:AJ,INPUT_DATA!$A:$A,$B82,INPUT_DATA!$C:$C,"D"))</f>
        <v/>
      </c>
      <c r="CK82" s="153" t="str">
        <f>IF($B82=0,"",SUMIFS(INPUT_DATA!AK:AK,INPUT_DATA!$A:$A,$B82,INPUT_DATA!$C:$C,"D"))</f>
        <v/>
      </c>
      <c r="CL82" s="153" t="str">
        <f>IF($B82=0,"",SUMIFS(INPUT_DATA!AL:AL,INPUT_DATA!$A:$A,$B82,INPUT_DATA!$C:$C,"D"))</f>
        <v/>
      </c>
      <c r="CM82" s="153" t="str">
        <f>IF($B82=0,"",SUMIFS(INPUT_DATA!AM:AM,INPUT_DATA!$A:$A,$B82,INPUT_DATA!$C:$C,"D"))</f>
        <v/>
      </c>
      <c r="CN82" s="153" t="str">
        <f>IF($B82=0,"",SUMIFS(INPUT_DATA!AN:AN,INPUT_DATA!$A:$A,$B82,INPUT_DATA!$C:$C,"D"))</f>
        <v/>
      </c>
      <c r="CO82" s="153" t="str">
        <f>IF($B82=0,"",SUMIFS(INPUT_DATA!AO:AO,INPUT_DATA!$A:$A,$B82,INPUT_DATA!$C:$C,"D"))</f>
        <v/>
      </c>
      <c r="CP82" s="153" t="str">
        <f>IF($B82=0,"",SUMIFS(INPUT_DATA!AP:AP,INPUT_DATA!$A:$A,$B82,INPUT_DATA!$C:$C,"D"))</f>
        <v/>
      </c>
      <c r="CQ82" s="153" t="str">
        <f>IF($B82=0,"",SUMIFS(INPUT_DATA!AQ:AQ,INPUT_DATA!$A:$A,$B82,INPUT_DATA!$C:$C,"D"))</f>
        <v/>
      </c>
      <c r="CR82" s="737" t="str">
        <f t="shared" si="32"/>
        <v/>
      </c>
      <c r="CS82" s="737" t="str">
        <f t="shared" si="33"/>
        <v/>
      </c>
      <c r="CT82" s="737" t="str">
        <f t="shared" si="34"/>
        <v/>
      </c>
      <c r="CU82" s="726" t="str">
        <f>IF($B82=0,"",SUMIFS(INPUT_DATA!AR:AR,INPUT_DATA!$A:$A,$B82,INPUT_DATA!$C:$C,"D"))</f>
        <v/>
      </c>
      <c r="CV82" s="726" t="str">
        <f>IF($B82=0,"",SUMIFS(INPUT_DATA!AS:AS,INPUT_DATA!$A:$A,$B82,INPUT_DATA!$C:$C,"D"))</f>
        <v/>
      </c>
      <c r="CW82" s="726" t="str">
        <f>IF($B82=0,"",SUMIFS(INPUT_DATA!AT:AT,INPUT_DATA!$A:$A,$B82,INPUT_DATA!$C:$C,"D"))</f>
        <v/>
      </c>
      <c r="CX82" s="726" t="str">
        <f t="shared" si="35"/>
        <v/>
      </c>
      <c r="CY82" s="737" t="str">
        <f t="shared" si="36"/>
        <v/>
      </c>
      <c r="CZ82" s="748" t="str">
        <f t="shared" si="37"/>
        <v/>
      </c>
      <c r="DA82" s="150"/>
    </row>
    <row r="83" spans="1:105" x14ac:dyDescent="0.2">
      <c r="A83" s="172">
        <f t="shared" si="40"/>
        <v>-36</v>
      </c>
      <c r="B83" s="720">
        <f>INPUT_DATA!BQ70</f>
        <v>0</v>
      </c>
      <c r="C83" s="725" t="str">
        <f>IF($B83=0,"",SUMIFS(INPUT_DATA!D:D,INPUT_DATA!$A:$A,$B83,INPUT_DATA!$C:$C,"S"))</f>
        <v/>
      </c>
      <c r="D83" s="726" t="str">
        <f>IF($B83=0,"",SUMIFS(INPUT_DATA!E:E,INPUT_DATA!$A:$A,$B83,INPUT_DATA!$C:$C,"S"))</f>
        <v/>
      </c>
      <c r="E83" s="727" t="str">
        <f>IF($B83=0,"",SUMIFS(INPUT_DATA!F:F,INPUT_DATA!$A:$A,$B83,INPUT_DATA!$C:$C,"S"))</f>
        <v/>
      </c>
      <c r="F83" s="727" t="str">
        <f>IF($B83=0,"",SUMIFS(INPUT_DATA!G:G,INPUT_DATA!$A:$A,$B83,INPUT_DATA!$C:$C,"S"))</f>
        <v/>
      </c>
      <c r="G83" s="727" t="str">
        <f>IF($B83=0,"",SUMIFS(INPUT_DATA!H:H,INPUT_DATA!$A:$A,$B83,INPUT_DATA!$C:$C,"S"))</f>
        <v/>
      </c>
      <c r="H83" s="727" t="str">
        <f>IF($B83=0,"",SUMIFS(INPUT_DATA!I:I,INPUT_DATA!$A:$A,$B83,INPUT_DATA!$C:$C,"S"))</f>
        <v/>
      </c>
      <c r="I83" s="727" t="str">
        <f>IF($B83=0,"",SUMIFS(INPUT_DATA!J:J,INPUT_DATA!$A:$A,$B83,INPUT_DATA!$C:$C,"S"))</f>
        <v/>
      </c>
      <c r="J83" s="727" t="str">
        <f>IF($B83=0,"",SUMIFS(INPUT_DATA!K:K,INPUT_DATA!$A:$A,$B83,INPUT_DATA!$C:$C,"S"))</f>
        <v/>
      </c>
      <c r="K83" s="727" t="str">
        <f>IF($B83=0,"",SUMIFS(INPUT_DATA!L:L,INPUT_DATA!$A:$A,$B83,INPUT_DATA!$C:$C,"S"))</f>
        <v/>
      </c>
      <c r="L83" s="727" t="str">
        <f>IF($B83=0,"",SUMIFS(INPUT_DATA!M:M,INPUT_DATA!$A:$A,$B83,INPUT_DATA!$C:$C,"S"))</f>
        <v/>
      </c>
      <c r="M83" s="727" t="str">
        <f>IF($B83=0,"",SUMIFS(INPUT_DATA!N:N,INPUT_DATA!$A:$A,$B83,INPUT_DATA!$C:$C,"S"))</f>
        <v/>
      </c>
      <c r="N83" s="727" t="str">
        <f>IF($B83=0,"",SUMIFS(INPUT_DATA!O:O,INPUT_DATA!$A:$A,$B83,INPUT_DATA!$C:$C,"S"))</f>
        <v/>
      </c>
      <c r="O83" s="728" t="str">
        <f t="shared" si="38"/>
        <v/>
      </c>
      <c r="P83" s="729" t="str">
        <f>IF($B83=0,"",SUMIFS(INPUT_DATA!P:P,INPUT_DATA!$A:$A,$B83,INPUT_DATA!$C:$C,"S"))</f>
        <v/>
      </c>
      <c r="Q83" s="729" t="str">
        <f t="shared" si="39"/>
        <v/>
      </c>
      <c r="R83" s="735" t="str">
        <f>IF($B83=0,"",SUMIFS(INPUT_DATA!Q:Q,INPUT_DATA!$A:$A,$B83,INPUT_DATA!$C:$C,"S"))</f>
        <v/>
      </c>
      <c r="S83" s="735" t="str">
        <f>IF($B83=0,"",SUMIFS(INPUT_DATA!R:R,INPUT_DATA!$A:$A,$B83,INPUT_DATA!$C:$C,"S"))</f>
        <v/>
      </c>
      <c r="T83" s="735" t="str">
        <f>IF($B83=0,"",SUMIFS(INPUT_DATA!S:S,INPUT_DATA!$A:$A,$B83,INPUT_DATA!$C:$C,"S"))</f>
        <v/>
      </c>
      <c r="U83" s="312" t="str">
        <f>IF($B83=0,"",SUMIFS(INPUT_DATA!T:T,INPUT_DATA!$A:$A,$B83,INPUT_DATA!$C:$C,"S"))</f>
        <v/>
      </c>
      <c r="V83" s="312" t="str">
        <f>IF($B83=0,"",SUMIFS(INPUT_DATA!U:U,INPUT_DATA!$A:$A,$B83,INPUT_DATA!$C:$C,"S"))</f>
        <v/>
      </c>
      <c r="W83" s="312" t="str">
        <f>IF($B83=0,"",SUMIFS(INPUT_DATA!V:V,INPUT_DATA!$A:$A,$B83,INPUT_DATA!$C:$C,"S"))</f>
        <v/>
      </c>
      <c r="X83" s="312" t="str">
        <f>IF($B83=0,"",SUMIFS(INPUT_DATA!W:W,INPUT_DATA!$A:$A,$B83,INPUT_DATA!$C:$C,"S"))</f>
        <v/>
      </c>
      <c r="Y83" s="312" t="str">
        <f>IF($B83=0,"",SUMIFS(INPUT_DATA!X:X,INPUT_DATA!$A:$A,$B83,INPUT_DATA!$C:$C,"S"))</f>
        <v/>
      </c>
      <c r="Z83" s="312" t="str">
        <f>IF($B83=0,"",SUMIFS(INPUT_DATA!Y:Y,INPUT_DATA!$A:$A,$B83,INPUT_DATA!$C:$C,"S"))</f>
        <v/>
      </c>
      <c r="AA83" s="312" t="str">
        <f>IF($B83=0,"",SUMIFS(INPUT_DATA!Z:Z,INPUT_DATA!$A:$A,$B83,INPUT_DATA!$C:$C,"S"))</f>
        <v/>
      </c>
      <c r="AB83" s="312" t="str">
        <f>IF($B83=0,"",SUMIFS(INPUT_DATA!AA:AA,INPUT_DATA!$A:$A,$B83,INPUT_DATA!$C:$C,"S"))</f>
        <v/>
      </c>
      <c r="AC83" s="312" t="str">
        <f>IF($B83=0,"",SUMIFS(INPUT_DATA!AB:AB,INPUT_DATA!$A:$A,$B83,INPUT_DATA!$C:$C,"S"))</f>
        <v/>
      </c>
      <c r="AD83" s="312" t="str">
        <f>IF($B83=0,"",SUMIFS(INPUT_DATA!AC:AC,INPUT_DATA!$A:$A,$B83,INPUT_DATA!$C:$C,"S"))</f>
        <v/>
      </c>
      <c r="AE83" s="312" t="str">
        <f>IF($B83=0,"",SUMIFS(INPUT_DATA!AD:AD,INPUT_DATA!$A:$A,$B83,INPUT_DATA!$C:$C,"S"))</f>
        <v/>
      </c>
      <c r="AF83" s="312" t="str">
        <f>IF($B83=0,"",SUMIFS(INPUT_DATA!AE:AE,INPUT_DATA!$A:$A,$B83,INPUT_DATA!$C:$C,"S"))</f>
        <v/>
      </c>
      <c r="AG83" s="312" t="str">
        <f>IF($B83=0,"",SUMIFS(INPUT_DATA!AF:AF,INPUT_DATA!$A:$A,$B83,INPUT_DATA!$C:$C,"S"))</f>
        <v/>
      </c>
      <c r="AH83" s="312" t="str">
        <f>IF($B83=0,"",SUMIFS(INPUT_DATA!AG:AG,INPUT_DATA!$A:$A,$B83,INPUT_DATA!$C:$C,"S"))</f>
        <v/>
      </c>
      <c r="AI83" s="312" t="str">
        <f>IF($B83=0,"",SUMIFS(INPUT_DATA!AH:AH,INPUT_DATA!$A:$A,$B83,INPUT_DATA!$C:$C,"S"))</f>
        <v/>
      </c>
      <c r="AJ83" s="312" t="str">
        <f>IF($B83=0,"",SUMIFS(INPUT_DATA!AI:AI,INPUT_DATA!$A:$A,$B83,INPUT_DATA!$C:$C,"S"))</f>
        <v/>
      </c>
      <c r="AK83" s="312" t="str">
        <f>IF($B83=0,"",SUMIFS(INPUT_DATA!AJ:AJ,INPUT_DATA!$A:$A,$B83,INPUT_DATA!$C:$C,"S"))</f>
        <v/>
      </c>
      <c r="AL83" s="312" t="str">
        <f>IF($B83=0,"",SUMIFS(INPUT_DATA!AK:AK,INPUT_DATA!$A:$A,$B83,INPUT_DATA!$C:$C,"S"))</f>
        <v/>
      </c>
      <c r="AM83" s="312" t="str">
        <f>IF($B83=0,"",SUMIFS(INPUT_DATA!AL:AL,INPUT_DATA!$A:$A,$B83,INPUT_DATA!$C:$C,"S"))</f>
        <v/>
      </c>
      <c r="AN83" s="312" t="str">
        <f>IF($B83=0,"",SUMIFS(INPUT_DATA!AM:AM,INPUT_DATA!$A:$A,$B83,INPUT_DATA!$C:$C,"S"))</f>
        <v/>
      </c>
      <c r="AO83" s="312" t="str">
        <f>IF($B83=0,"",SUMIFS(INPUT_DATA!AN:AN,INPUT_DATA!$A:$A,$B83,INPUT_DATA!$C:$C,"S"))</f>
        <v/>
      </c>
      <c r="AP83" s="312" t="str">
        <f>IF($B83=0,"",SUMIFS(INPUT_DATA!AO:AO,INPUT_DATA!$A:$A,$B83,INPUT_DATA!$C:$C,"S"))</f>
        <v/>
      </c>
      <c r="AQ83" s="312" t="str">
        <f>IF($B83=0,"",SUMIFS(INPUT_DATA!AP:AP,INPUT_DATA!$A:$A,$B83,INPUT_DATA!$C:$C,"S"))</f>
        <v/>
      </c>
      <c r="AR83" s="312" t="str">
        <f>IF($B83=0,"",SUMIFS(INPUT_DATA!AQ:AQ,INPUT_DATA!$A:$A,$B83,INPUT_DATA!$C:$C,"S"))</f>
        <v/>
      </c>
      <c r="AS83" s="736" t="str">
        <f t="shared" si="29"/>
        <v/>
      </c>
      <c r="AT83" s="737" t="str">
        <f t="shared" si="30"/>
        <v/>
      </c>
      <c r="AU83" s="738" t="str">
        <f t="shared" si="31"/>
        <v/>
      </c>
      <c r="AV83" s="736" t="str">
        <f>IF($B83=0,"",SUMIFS(INPUT_DATA!AR:AR,INPUT_DATA!$A:$A,$B83,INPUT_DATA!$C:$C,"S"))</f>
        <v/>
      </c>
      <c r="AW83" s="737" t="str">
        <f>IF($B83=0,"",SUMIFS(INPUT_DATA!AS:AS,INPUT_DATA!$A:$A,$B83,INPUT_DATA!$C:$C,"S"))</f>
        <v/>
      </c>
      <c r="AX83" s="738" t="str">
        <f>IF($B83=0,"",SUMIFS(INPUT_DATA!AT:AT,INPUT_DATA!$A:$A,$B83,INPUT_DATA!$C:$C,"S"))</f>
        <v/>
      </c>
      <c r="AY83" s="736" t="str">
        <f t="shared" ref="AY83:AY87" si="41">IF($B83=0,"",AS83-AV83)</f>
        <v/>
      </c>
      <c r="AZ83" s="737" t="str">
        <f t="shared" ref="AZ83:AZ87" si="42">IF($B83=0,"",AT83-AW83)</f>
        <v/>
      </c>
      <c r="BA83" s="738" t="str">
        <f t="shared" ref="BA83:BA87" si="43">IF($B83=0,"",AU83-AX83)</f>
        <v/>
      </c>
      <c r="BB83" s="150"/>
      <c r="BC83" s="725" t="str">
        <f>IF($B83=0,"",SUMIFS(INPUT_DATA!D:D,INPUT_DATA!$A:$A,$B83,INPUT_DATA!$C:$C,"D"))</f>
        <v/>
      </c>
      <c r="BD83" s="311" t="str">
        <f>IF($B83=0,"",SUMIFS(INPUT_DATA!F:F,INPUT_DATA!$A:$A,$B83,INPUT_DATA!$C:$C,"D"))</f>
        <v/>
      </c>
      <c r="BE83" s="311" t="str">
        <f>IF($B83=0,"",SUMIFS(INPUT_DATA!G:G,INPUT_DATA!$A:$A,$B83,INPUT_DATA!$C:$C,"D"))</f>
        <v/>
      </c>
      <c r="BF83" s="311" t="str">
        <f>IF($B83=0,"",SUMIFS(INPUT_DATA!H:H,INPUT_DATA!$A:$A,$B83,INPUT_DATA!$C:$C,"D"))</f>
        <v/>
      </c>
      <c r="BG83" s="311" t="str">
        <f>IF($B83=0,"",SUMIFS(INPUT_DATA!I:I,INPUT_DATA!$A:$A,$B83,INPUT_DATA!$C:$C,"D"))</f>
        <v/>
      </c>
      <c r="BH83" s="311" t="str">
        <f>IF($B83=0,"",SUMIFS(INPUT_DATA!J:J,INPUT_DATA!$A:$A,$B83,INPUT_DATA!$C:$C,"D"))</f>
        <v/>
      </c>
      <c r="BI83" s="311" t="str">
        <f>IF($B83=0,"",SUMIFS(INPUT_DATA!K:K,INPUT_DATA!$A:$A,$B83,INPUT_DATA!$C:$C,"D"))</f>
        <v/>
      </c>
      <c r="BJ83" s="311" t="str">
        <f>IF($B83=0,"",SUMIFS(INPUT_DATA!L:L,INPUT_DATA!$A:$A,$B83,INPUT_DATA!$C:$C,"D"))</f>
        <v/>
      </c>
      <c r="BK83" s="311" t="str">
        <f>IF($B83=0,"",SUMIFS(INPUT_DATA!M:M,INPUT_DATA!$A:$A,$B83,INPUT_DATA!$C:$C,"D"))</f>
        <v/>
      </c>
      <c r="BL83" s="311" t="str">
        <f>IF($B83=0,"",SUMIFS(INPUT_DATA!N:N,INPUT_DATA!$A:$A,$B83,INPUT_DATA!$C:$C,"D"))</f>
        <v/>
      </c>
      <c r="BM83" s="311" t="str">
        <f>IF($B83=0,"",SUMIFS(INPUT_DATA!O:O,INPUT_DATA!$A:$A,$B83,INPUT_DATA!$C:$C,"D"))</f>
        <v/>
      </c>
      <c r="BN83" s="741" t="str">
        <f t="shared" ref="BN83:BN87" si="44">IF($B83=0,"",BC83-BD83-BE83+BF83+BG83+BH83-BI83+BJ83-BK83-BL83-BM83)</f>
        <v/>
      </c>
      <c r="BO83" s="741" t="str">
        <f>IF($B83=0,"",SUMIFS(INPUT_DATA!O:O,INPUT_DATA!$A:$A,$B83,INPUT_DATA!$C:$C,"D"))</f>
        <v/>
      </c>
      <c r="BP83" s="741" t="str">
        <f t="shared" ref="BP83:BP87" si="45">IF($B83=0,"",BN83-BO83)</f>
        <v/>
      </c>
      <c r="BQ83" s="725" t="str">
        <f>IF($B83=0,"",SUMIFS(INPUT_DATA!Q:Q,INPUT_DATA!$A:$A,$B83,INPUT_DATA!$C:$C,"D"))</f>
        <v/>
      </c>
      <c r="BR83" s="747" t="str">
        <f>IF($B83=0,"",SUMIFS(INPUT_DATA!R:R,INPUT_DATA!$A:$A,$B83,INPUT_DATA!$C:$C,"D"))</f>
        <v/>
      </c>
      <c r="BS83" s="747" t="str">
        <f>IF($B83=0,"",SUMIFS(INPUT_DATA!S:S,INPUT_DATA!$A:$A,$B83,INPUT_DATA!$C:$C,"D"))</f>
        <v/>
      </c>
      <c r="BT83" s="311" t="str">
        <f>IF($B83=0,"",SUMIFS(INPUT_DATA!T:T,INPUT_DATA!$A:$A,$B83,INPUT_DATA!$C:$C,"D"))</f>
        <v/>
      </c>
      <c r="BU83" s="311" t="str">
        <f>IF($B83=0,"",SUMIFS(INPUT_DATA!U:U,INPUT_DATA!$A:$A,$B83,INPUT_DATA!$C:$C,"D"))</f>
        <v/>
      </c>
      <c r="BV83" s="311" t="str">
        <f>IF($B83=0,"",SUMIFS(INPUT_DATA!V:V,INPUT_DATA!$A:$A,$B83,INPUT_DATA!$C:$C,"D"))</f>
        <v/>
      </c>
      <c r="BW83" s="311" t="str">
        <f>IF($B83=0,"",SUMIFS(INPUT_DATA!W:W,INPUT_DATA!$A:$A,$B83,INPUT_DATA!$C:$C,"D"))</f>
        <v/>
      </c>
      <c r="BX83" s="311" t="str">
        <f>IF($B83=0,"",SUMIFS(INPUT_DATA!X:X,INPUT_DATA!$A:$A,$B83,INPUT_DATA!$C:$C,"D"))</f>
        <v/>
      </c>
      <c r="BY83" s="311" t="str">
        <f>IF($B83=0,"",SUMIFS(INPUT_DATA!Y:Y,INPUT_DATA!$A:$A,$B83,INPUT_DATA!$C:$C,"D"))</f>
        <v/>
      </c>
      <c r="BZ83" s="352" t="str">
        <f>IF($B83=0,"",SUMIFS(INPUT_DATA!Z:Z,INPUT_DATA!$A:$A,$B83,INPUT_DATA!$C:$C,"D"))</f>
        <v/>
      </c>
      <c r="CA83" s="352" t="str">
        <f>IF($B83=0,"",SUMIFS(INPUT_DATA!AA:AA,INPUT_DATA!$A:$A,$B83,INPUT_DATA!$C:$C,"D"))</f>
        <v/>
      </c>
      <c r="CB83" s="352" t="str">
        <f>IF($B83=0,"",SUMIFS(INPUT_DATA!AB:AB,INPUT_DATA!$A:$A,$B83,INPUT_DATA!$C:$C,"D"))</f>
        <v/>
      </c>
      <c r="CC83" s="311" t="str">
        <f>IF($B83=0,"",SUMIFS(INPUT_DATA!AC:AC,INPUT_DATA!$A:$A,$B83,INPUT_DATA!$C:$C,"D"))</f>
        <v/>
      </c>
      <c r="CD83" s="311" t="str">
        <f>IF($B83=0,"",SUMIFS(INPUT_DATA!AD:AD,INPUT_DATA!$A:$A,$B83,INPUT_DATA!$C:$C,"D"))</f>
        <v/>
      </c>
      <c r="CE83" s="311" t="str">
        <f>IF($B83=0,"",SUMIFS(INPUT_DATA!AE:AE,INPUT_DATA!$A:$A,$B83,INPUT_DATA!$C:$C,"D"))</f>
        <v/>
      </c>
      <c r="CF83" s="352" t="str">
        <f>IF($B83=0,"",SUMIFS(INPUT_DATA!AF:AF,INPUT_DATA!$A:$A,$B83,INPUT_DATA!$C:$C,"D"))</f>
        <v/>
      </c>
      <c r="CG83" s="352" t="str">
        <f>IF($B83=0,"",SUMIFS(INPUT_DATA!AG:AG,INPUT_DATA!$A:$A,$B83,INPUT_DATA!$C:$C,"D"))</f>
        <v/>
      </c>
      <c r="CH83" s="352" t="str">
        <f>IF($B83=0,"",SUMIFS(INPUT_DATA!AH:AH,INPUT_DATA!$A:$A,$B83,INPUT_DATA!$C:$C,"D"))</f>
        <v/>
      </c>
      <c r="CI83" s="153" t="str">
        <f>IF($B83=0,"",SUMIFS(INPUT_DATA!AI:AI,INPUT_DATA!$A:$A,$B83,INPUT_DATA!$C:$C,"D"))</f>
        <v/>
      </c>
      <c r="CJ83" s="153" t="str">
        <f>IF($B83=0,"",SUMIFS(INPUT_DATA!AJ:AJ,INPUT_DATA!$A:$A,$B83,INPUT_DATA!$C:$C,"D"))</f>
        <v/>
      </c>
      <c r="CK83" s="153" t="str">
        <f>IF($B83=0,"",SUMIFS(INPUT_DATA!AK:AK,INPUT_DATA!$A:$A,$B83,INPUT_DATA!$C:$C,"D"))</f>
        <v/>
      </c>
      <c r="CL83" s="153" t="str">
        <f>IF($B83=0,"",SUMIFS(INPUT_DATA!AL:AL,INPUT_DATA!$A:$A,$B83,INPUT_DATA!$C:$C,"D"))</f>
        <v/>
      </c>
      <c r="CM83" s="153" t="str">
        <f>IF($B83=0,"",SUMIFS(INPUT_DATA!AM:AM,INPUT_DATA!$A:$A,$B83,INPUT_DATA!$C:$C,"D"))</f>
        <v/>
      </c>
      <c r="CN83" s="153" t="str">
        <f>IF($B83=0,"",SUMIFS(INPUT_DATA!AN:AN,INPUT_DATA!$A:$A,$B83,INPUT_DATA!$C:$C,"D"))</f>
        <v/>
      </c>
      <c r="CO83" s="153" t="str">
        <f>IF($B83=0,"",SUMIFS(INPUT_DATA!AO:AO,INPUT_DATA!$A:$A,$B83,INPUT_DATA!$C:$C,"D"))</f>
        <v/>
      </c>
      <c r="CP83" s="153" t="str">
        <f>IF($B83=0,"",SUMIFS(INPUT_DATA!AP:AP,INPUT_DATA!$A:$A,$B83,INPUT_DATA!$C:$C,"D"))</f>
        <v/>
      </c>
      <c r="CQ83" s="153" t="str">
        <f>IF($B83=0,"",SUMIFS(INPUT_DATA!AQ:AQ,INPUT_DATA!$A:$A,$B83,INPUT_DATA!$C:$C,"D"))</f>
        <v/>
      </c>
      <c r="CR83" s="737" t="str">
        <f t="shared" si="32"/>
        <v/>
      </c>
      <c r="CS83" s="737" t="str">
        <f t="shared" si="33"/>
        <v/>
      </c>
      <c r="CT83" s="737" t="str">
        <f t="shared" si="34"/>
        <v/>
      </c>
      <c r="CU83" s="726" t="str">
        <f>IF($B83=0,"",SUMIFS(INPUT_DATA!AR:AR,INPUT_DATA!$A:$A,$B83,INPUT_DATA!$C:$C,"D"))</f>
        <v/>
      </c>
      <c r="CV83" s="726" t="str">
        <f>IF($B83=0,"",SUMIFS(INPUT_DATA!AS:AS,INPUT_DATA!$A:$A,$B83,INPUT_DATA!$C:$C,"D"))</f>
        <v/>
      </c>
      <c r="CW83" s="726" t="str">
        <f>IF($B83=0,"",SUMIFS(INPUT_DATA!AT:AT,INPUT_DATA!$A:$A,$B83,INPUT_DATA!$C:$C,"D"))</f>
        <v/>
      </c>
      <c r="CX83" s="726" t="str">
        <f t="shared" si="35"/>
        <v/>
      </c>
      <c r="CY83" s="737" t="str">
        <f t="shared" si="36"/>
        <v/>
      </c>
      <c r="CZ83" s="748" t="str">
        <f t="shared" si="37"/>
        <v/>
      </c>
      <c r="DA83" s="150"/>
    </row>
    <row r="84" spans="1:105" x14ac:dyDescent="0.2">
      <c r="A84" s="172">
        <f t="shared" si="40"/>
        <v>-37</v>
      </c>
      <c r="B84" s="720">
        <f>INPUT_DATA!BQ71</f>
        <v>0</v>
      </c>
      <c r="C84" s="725" t="str">
        <f>IF($B84=0,"",SUMIFS(INPUT_DATA!D:D,INPUT_DATA!$A:$A,$B84,INPUT_DATA!$C:$C,"S"))</f>
        <v/>
      </c>
      <c r="D84" s="726" t="str">
        <f>IF($B84=0,"",SUMIFS(INPUT_DATA!E:E,INPUT_DATA!$A:$A,$B84,INPUT_DATA!$C:$C,"S"))</f>
        <v/>
      </c>
      <c r="E84" s="727" t="str">
        <f>IF($B84=0,"",SUMIFS(INPUT_DATA!F:F,INPUT_DATA!$A:$A,$B84,INPUT_DATA!$C:$C,"S"))</f>
        <v/>
      </c>
      <c r="F84" s="727" t="str">
        <f>IF($B84=0,"",SUMIFS(INPUT_DATA!G:G,INPUT_DATA!$A:$A,$B84,INPUT_DATA!$C:$C,"S"))</f>
        <v/>
      </c>
      <c r="G84" s="727" t="str">
        <f>IF($B84=0,"",SUMIFS(INPUT_DATA!H:H,INPUT_DATA!$A:$A,$B84,INPUT_DATA!$C:$C,"S"))</f>
        <v/>
      </c>
      <c r="H84" s="727" t="str">
        <f>IF($B84=0,"",SUMIFS(INPUT_DATA!I:I,INPUT_DATA!$A:$A,$B84,INPUT_DATA!$C:$C,"S"))</f>
        <v/>
      </c>
      <c r="I84" s="727" t="str">
        <f>IF($B84=0,"",SUMIFS(INPUT_DATA!J:J,INPUT_DATA!$A:$A,$B84,INPUT_DATA!$C:$C,"S"))</f>
        <v/>
      </c>
      <c r="J84" s="727" t="str">
        <f>IF($B84=0,"",SUMIFS(INPUT_DATA!K:K,INPUT_DATA!$A:$A,$B84,INPUT_DATA!$C:$C,"S"))</f>
        <v/>
      </c>
      <c r="K84" s="727" t="str">
        <f>IF($B84=0,"",SUMIFS(INPUT_DATA!L:L,INPUT_DATA!$A:$A,$B84,INPUT_DATA!$C:$C,"S"))</f>
        <v/>
      </c>
      <c r="L84" s="727" t="str">
        <f>IF($B84=0,"",SUMIFS(INPUT_DATA!M:M,INPUT_DATA!$A:$A,$B84,INPUT_DATA!$C:$C,"S"))</f>
        <v/>
      </c>
      <c r="M84" s="727" t="str">
        <f>IF($B84=0,"",SUMIFS(INPUT_DATA!N:N,INPUT_DATA!$A:$A,$B84,INPUT_DATA!$C:$C,"S"))</f>
        <v/>
      </c>
      <c r="N84" s="727" t="str">
        <f>IF($B84=0,"",SUMIFS(INPUT_DATA!O:O,INPUT_DATA!$A:$A,$B84,INPUT_DATA!$C:$C,"S"))</f>
        <v/>
      </c>
      <c r="O84" s="728" t="str">
        <f t="shared" si="38"/>
        <v/>
      </c>
      <c r="P84" s="729" t="str">
        <f>IF($B84=0,"",SUMIFS(INPUT_DATA!P:P,INPUT_DATA!$A:$A,$B84,INPUT_DATA!$C:$C,"S"))</f>
        <v/>
      </c>
      <c r="Q84" s="729" t="str">
        <f t="shared" si="39"/>
        <v/>
      </c>
      <c r="R84" s="735" t="str">
        <f>IF($B84=0,"",SUMIFS(INPUT_DATA!Q:Q,INPUT_DATA!$A:$A,$B84,INPUT_DATA!$C:$C,"S"))</f>
        <v/>
      </c>
      <c r="S84" s="735" t="str">
        <f>IF($B84=0,"",SUMIFS(INPUT_DATA!R:R,INPUT_DATA!$A:$A,$B84,INPUT_DATA!$C:$C,"S"))</f>
        <v/>
      </c>
      <c r="T84" s="735" t="str">
        <f>IF($B84=0,"",SUMIFS(INPUT_DATA!S:S,INPUT_DATA!$A:$A,$B84,INPUT_DATA!$C:$C,"S"))</f>
        <v/>
      </c>
      <c r="U84" s="312" t="str">
        <f>IF($B84=0,"",SUMIFS(INPUT_DATA!T:T,INPUT_DATA!$A:$A,$B84,INPUT_DATA!$C:$C,"S"))</f>
        <v/>
      </c>
      <c r="V84" s="312" t="str">
        <f>IF($B84=0,"",SUMIFS(INPUT_DATA!U:U,INPUT_DATA!$A:$A,$B84,INPUT_DATA!$C:$C,"S"))</f>
        <v/>
      </c>
      <c r="W84" s="312" t="str">
        <f>IF($B84=0,"",SUMIFS(INPUT_DATA!V:V,INPUT_DATA!$A:$A,$B84,INPUT_DATA!$C:$C,"S"))</f>
        <v/>
      </c>
      <c r="X84" s="312" t="str">
        <f>IF($B84=0,"",SUMIFS(INPUT_DATA!W:W,INPUT_DATA!$A:$A,$B84,INPUT_DATA!$C:$C,"S"))</f>
        <v/>
      </c>
      <c r="Y84" s="312" t="str">
        <f>IF($B84=0,"",SUMIFS(INPUT_DATA!X:X,INPUT_DATA!$A:$A,$B84,INPUT_DATA!$C:$C,"S"))</f>
        <v/>
      </c>
      <c r="Z84" s="312" t="str">
        <f>IF($B84=0,"",SUMIFS(INPUT_DATA!Y:Y,INPUT_DATA!$A:$A,$B84,INPUT_DATA!$C:$C,"S"))</f>
        <v/>
      </c>
      <c r="AA84" s="312" t="str">
        <f>IF($B84=0,"",SUMIFS(INPUT_DATA!Z:Z,INPUT_DATA!$A:$A,$B84,INPUT_DATA!$C:$C,"S"))</f>
        <v/>
      </c>
      <c r="AB84" s="312" t="str">
        <f>IF($B84=0,"",SUMIFS(INPUT_DATA!AA:AA,INPUT_DATA!$A:$A,$B84,INPUT_DATA!$C:$C,"S"))</f>
        <v/>
      </c>
      <c r="AC84" s="312" t="str">
        <f>IF($B84=0,"",SUMIFS(INPUT_DATA!AB:AB,INPUT_DATA!$A:$A,$B84,INPUT_DATA!$C:$C,"S"))</f>
        <v/>
      </c>
      <c r="AD84" s="312" t="str">
        <f>IF($B84=0,"",SUMIFS(INPUT_DATA!AC:AC,INPUT_DATA!$A:$A,$B84,INPUT_DATA!$C:$C,"S"))</f>
        <v/>
      </c>
      <c r="AE84" s="312" t="str">
        <f>IF($B84=0,"",SUMIFS(INPUT_DATA!AD:AD,INPUT_DATA!$A:$A,$B84,INPUT_DATA!$C:$C,"S"))</f>
        <v/>
      </c>
      <c r="AF84" s="312" t="str">
        <f>IF($B84=0,"",SUMIFS(INPUT_DATA!AE:AE,INPUT_DATA!$A:$A,$B84,INPUT_DATA!$C:$C,"S"))</f>
        <v/>
      </c>
      <c r="AG84" s="312" t="str">
        <f>IF($B84=0,"",SUMIFS(INPUT_DATA!AF:AF,INPUT_DATA!$A:$A,$B84,INPUT_DATA!$C:$C,"S"))</f>
        <v/>
      </c>
      <c r="AH84" s="312" t="str">
        <f>IF($B84=0,"",SUMIFS(INPUT_DATA!AG:AG,INPUT_DATA!$A:$A,$B84,INPUT_DATA!$C:$C,"S"))</f>
        <v/>
      </c>
      <c r="AI84" s="312" t="str">
        <f>IF($B84=0,"",SUMIFS(INPUT_DATA!AH:AH,INPUT_DATA!$A:$A,$B84,INPUT_DATA!$C:$C,"S"))</f>
        <v/>
      </c>
      <c r="AJ84" s="312" t="str">
        <f>IF($B84=0,"",SUMIFS(INPUT_DATA!AI:AI,INPUT_DATA!$A:$A,$B84,INPUT_DATA!$C:$C,"S"))</f>
        <v/>
      </c>
      <c r="AK84" s="312" t="str">
        <f>IF($B84=0,"",SUMIFS(INPUT_DATA!AJ:AJ,INPUT_DATA!$A:$A,$B84,INPUT_DATA!$C:$C,"S"))</f>
        <v/>
      </c>
      <c r="AL84" s="312" t="str">
        <f>IF($B84=0,"",SUMIFS(INPUT_DATA!AK:AK,INPUT_DATA!$A:$A,$B84,INPUT_DATA!$C:$C,"S"))</f>
        <v/>
      </c>
      <c r="AM84" s="312" t="str">
        <f>IF($B84=0,"",SUMIFS(INPUT_DATA!AL:AL,INPUT_DATA!$A:$A,$B84,INPUT_DATA!$C:$C,"S"))</f>
        <v/>
      </c>
      <c r="AN84" s="312" t="str">
        <f>IF($B84=0,"",SUMIFS(INPUT_DATA!AM:AM,INPUT_DATA!$A:$A,$B84,INPUT_DATA!$C:$C,"S"))</f>
        <v/>
      </c>
      <c r="AO84" s="312" t="str">
        <f>IF($B84=0,"",SUMIFS(INPUT_DATA!AN:AN,INPUT_DATA!$A:$A,$B84,INPUT_DATA!$C:$C,"S"))</f>
        <v/>
      </c>
      <c r="AP84" s="312" t="str">
        <f>IF($B84=0,"",SUMIFS(INPUT_DATA!AO:AO,INPUT_DATA!$A:$A,$B84,INPUT_DATA!$C:$C,"S"))</f>
        <v/>
      </c>
      <c r="AQ84" s="312" t="str">
        <f>IF($B84=0,"",SUMIFS(INPUT_DATA!AP:AP,INPUT_DATA!$A:$A,$B84,INPUT_DATA!$C:$C,"S"))</f>
        <v/>
      </c>
      <c r="AR84" s="312" t="str">
        <f>IF($B84=0,"",SUMIFS(INPUT_DATA!AQ:AQ,INPUT_DATA!$A:$A,$B84,INPUT_DATA!$C:$C,"S"))</f>
        <v/>
      </c>
      <c r="AS84" s="736" t="str">
        <f t="shared" si="29"/>
        <v/>
      </c>
      <c r="AT84" s="737" t="str">
        <f t="shared" si="30"/>
        <v/>
      </c>
      <c r="AU84" s="738" t="str">
        <f t="shared" si="31"/>
        <v/>
      </c>
      <c r="AV84" s="736" t="str">
        <f>IF($B84=0,"",SUMIFS(INPUT_DATA!AR:AR,INPUT_DATA!$A:$A,$B84,INPUT_DATA!$C:$C,"S"))</f>
        <v/>
      </c>
      <c r="AW84" s="737" t="str">
        <f>IF($B84=0,"",SUMIFS(INPUT_DATA!AS:AS,INPUT_DATA!$A:$A,$B84,INPUT_DATA!$C:$C,"S"))</f>
        <v/>
      </c>
      <c r="AX84" s="738" t="str">
        <f>IF($B84=0,"",SUMIFS(INPUT_DATA!AT:AT,INPUT_DATA!$A:$A,$B84,INPUT_DATA!$C:$C,"S"))</f>
        <v/>
      </c>
      <c r="AY84" s="736" t="str">
        <f t="shared" si="41"/>
        <v/>
      </c>
      <c r="AZ84" s="737" t="str">
        <f t="shared" si="42"/>
        <v/>
      </c>
      <c r="BA84" s="738" t="str">
        <f t="shared" si="43"/>
        <v/>
      </c>
      <c r="BB84" s="150"/>
      <c r="BC84" s="725" t="str">
        <f>IF($B84=0,"",SUMIFS(INPUT_DATA!D:D,INPUT_DATA!$A:$A,$B84,INPUT_DATA!$C:$C,"D"))</f>
        <v/>
      </c>
      <c r="BD84" s="311" t="str">
        <f>IF($B84=0,"",SUMIFS(INPUT_DATA!F:F,INPUT_DATA!$A:$A,$B84,INPUT_DATA!$C:$C,"D"))</f>
        <v/>
      </c>
      <c r="BE84" s="311" t="str">
        <f>IF($B84=0,"",SUMIFS(INPUT_DATA!G:G,INPUT_DATA!$A:$A,$B84,INPUT_DATA!$C:$C,"D"))</f>
        <v/>
      </c>
      <c r="BF84" s="311" t="str">
        <f>IF($B84=0,"",SUMIFS(INPUT_DATA!H:H,INPUT_DATA!$A:$A,$B84,INPUT_DATA!$C:$C,"D"))</f>
        <v/>
      </c>
      <c r="BG84" s="311" t="str">
        <f>IF($B84=0,"",SUMIFS(INPUT_DATA!I:I,INPUT_DATA!$A:$A,$B84,INPUT_DATA!$C:$C,"D"))</f>
        <v/>
      </c>
      <c r="BH84" s="311" t="str">
        <f>IF($B84=0,"",SUMIFS(INPUT_DATA!J:J,INPUT_DATA!$A:$A,$B84,INPUT_DATA!$C:$C,"D"))</f>
        <v/>
      </c>
      <c r="BI84" s="311" t="str">
        <f>IF($B84=0,"",SUMIFS(INPUT_DATA!K:K,INPUT_DATA!$A:$A,$B84,INPUT_DATA!$C:$C,"D"))</f>
        <v/>
      </c>
      <c r="BJ84" s="311" t="str">
        <f>IF($B84=0,"",SUMIFS(INPUT_DATA!L:L,INPUT_DATA!$A:$A,$B84,INPUT_DATA!$C:$C,"D"))</f>
        <v/>
      </c>
      <c r="BK84" s="311" t="str">
        <f>IF($B84=0,"",SUMIFS(INPUT_DATA!M:M,INPUT_DATA!$A:$A,$B84,INPUT_DATA!$C:$C,"D"))</f>
        <v/>
      </c>
      <c r="BL84" s="311" t="str">
        <f>IF($B84=0,"",SUMIFS(INPUT_DATA!N:N,INPUT_DATA!$A:$A,$B84,INPUT_DATA!$C:$C,"D"))</f>
        <v/>
      </c>
      <c r="BM84" s="311" t="str">
        <f>IF($B84=0,"",SUMIFS(INPUT_DATA!O:O,INPUT_DATA!$A:$A,$B84,INPUT_DATA!$C:$C,"D"))</f>
        <v/>
      </c>
      <c r="BN84" s="741" t="str">
        <f t="shared" si="44"/>
        <v/>
      </c>
      <c r="BO84" s="741" t="str">
        <f>IF($B84=0,"",SUMIFS(INPUT_DATA!O:O,INPUT_DATA!$A:$A,$B84,INPUT_DATA!$C:$C,"D"))</f>
        <v/>
      </c>
      <c r="BP84" s="741" t="str">
        <f t="shared" si="45"/>
        <v/>
      </c>
      <c r="BQ84" s="725" t="str">
        <f>IF($B84=0,"",SUMIFS(INPUT_DATA!Q:Q,INPUT_DATA!$A:$A,$B84,INPUT_DATA!$C:$C,"D"))</f>
        <v/>
      </c>
      <c r="BR84" s="747" t="str">
        <f>IF($B84=0,"",SUMIFS(INPUT_DATA!R:R,INPUT_DATA!$A:$A,$B84,INPUT_DATA!$C:$C,"D"))</f>
        <v/>
      </c>
      <c r="BS84" s="747" t="str">
        <f>IF($B84=0,"",SUMIFS(INPUT_DATA!S:S,INPUT_DATA!$A:$A,$B84,INPUT_DATA!$C:$C,"D"))</f>
        <v/>
      </c>
      <c r="BT84" s="311" t="str">
        <f>IF($B84=0,"",SUMIFS(INPUT_DATA!T:T,INPUT_DATA!$A:$A,$B84,INPUT_DATA!$C:$C,"D"))</f>
        <v/>
      </c>
      <c r="BU84" s="311" t="str">
        <f>IF($B84=0,"",SUMIFS(INPUT_DATA!U:U,INPUT_DATA!$A:$A,$B84,INPUT_DATA!$C:$C,"D"))</f>
        <v/>
      </c>
      <c r="BV84" s="311" t="str">
        <f>IF($B84=0,"",SUMIFS(INPUT_DATA!V:V,INPUT_DATA!$A:$A,$B84,INPUT_DATA!$C:$C,"D"))</f>
        <v/>
      </c>
      <c r="BW84" s="311" t="str">
        <f>IF($B84=0,"",SUMIFS(INPUT_DATA!W:W,INPUT_DATA!$A:$A,$B84,INPUT_DATA!$C:$C,"D"))</f>
        <v/>
      </c>
      <c r="BX84" s="311" t="str">
        <f>IF($B84=0,"",SUMIFS(INPUT_DATA!X:X,INPUT_DATA!$A:$A,$B84,INPUT_DATA!$C:$C,"D"))</f>
        <v/>
      </c>
      <c r="BY84" s="311" t="str">
        <f>IF($B84=0,"",SUMIFS(INPUT_DATA!Y:Y,INPUT_DATA!$A:$A,$B84,INPUT_DATA!$C:$C,"D"))</f>
        <v/>
      </c>
      <c r="BZ84" s="352" t="str">
        <f>IF($B84=0,"",SUMIFS(INPUT_DATA!Z:Z,INPUT_DATA!$A:$A,$B84,INPUT_DATA!$C:$C,"D"))</f>
        <v/>
      </c>
      <c r="CA84" s="352" t="str">
        <f>IF($B84=0,"",SUMIFS(INPUT_DATA!AA:AA,INPUT_DATA!$A:$A,$B84,INPUT_DATA!$C:$C,"D"))</f>
        <v/>
      </c>
      <c r="CB84" s="352" t="str">
        <f>IF($B84=0,"",SUMIFS(INPUT_DATA!AB:AB,INPUT_DATA!$A:$A,$B84,INPUT_DATA!$C:$C,"D"))</f>
        <v/>
      </c>
      <c r="CC84" s="311" t="str">
        <f>IF($B84=0,"",SUMIFS(INPUT_DATA!AC:AC,INPUT_DATA!$A:$A,$B84,INPUT_DATA!$C:$C,"D"))</f>
        <v/>
      </c>
      <c r="CD84" s="311" t="str">
        <f>IF($B84=0,"",SUMIFS(INPUT_DATA!AD:AD,INPUT_DATA!$A:$A,$B84,INPUT_DATA!$C:$C,"D"))</f>
        <v/>
      </c>
      <c r="CE84" s="311" t="str">
        <f>IF($B84=0,"",SUMIFS(INPUT_DATA!AE:AE,INPUT_DATA!$A:$A,$B84,INPUT_DATA!$C:$C,"D"))</f>
        <v/>
      </c>
      <c r="CF84" s="352" t="str">
        <f>IF($B84=0,"",SUMIFS(INPUT_DATA!AF:AF,INPUT_DATA!$A:$A,$B84,INPUT_DATA!$C:$C,"D"))</f>
        <v/>
      </c>
      <c r="CG84" s="352" t="str">
        <f>IF($B84=0,"",SUMIFS(INPUT_DATA!AG:AG,INPUT_DATA!$A:$A,$B84,INPUT_DATA!$C:$C,"D"))</f>
        <v/>
      </c>
      <c r="CH84" s="352" t="str">
        <f>IF($B84=0,"",SUMIFS(INPUT_DATA!AH:AH,INPUT_DATA!$A:$A,$B84,INPUT_DATA!$C:$C,"D"))</f>
        <v/>
      </c>
      <c r="CI84" s="153" t="str">
        <f>IF($B84=0,"",SUMIFS(INPUT_DATA!AI:AI,INPUT_DATA!$A:$A,$B84,INPUT_DATA!$C:$C,"D"))</f>
        <v/>
      </c>
      <c r="CJ84" s="153" t="str">
        <f>IF($B84=0,"",SUMIFS(INPUT_DATA!AJ:AJ,INPUT_DATA!$A:$A,$B84,INPUT_DATA!$C:$C,"D"))</f>
        <v/>
      </c>
      <c r="CK84" s="153" t="str">
        <f>IF($B84=0,"",SUMIFS(INPUT_DATA!AK:AK,INPUT_DATA!$A:$A,$B84,INPUT_DATA!$C:$C,"D"))</f>
        <v/>
      </c>
      <c r="CL84" s="153" t="str">
        <f>IF($B84=0,"",SUMIFS(INPUT_DATA!AL:AL,INPUT_DATA!$A:$A,$B84,INPUT_DATA!$C:$C,"D"))</f>
        <v/>
      </c>
      <c r="CM84" s="153" t="str">
        <f>IF($B84=0,"",SUMIFS(INPUT_DATA!AM:AM,INPUT_DATA!$A:$A,$B84,INPUT_DATA!$C:$C,"D"))</f>
        <v/>
      </c>
      <c r="CN84" s="153" t="str">
        <f>IF($B84=0,"",SUMIFS(INPUT_DATA!AN:AN,INPUT_DATA!$A:$A,$B84,INPUT_DATA!$C:$C,"D"))</f>
        <v/>
      </c>
      <c r="CO84" s="153" t="str">
        <f>IF($B84=0,"",SUMIFS(INPUT_DATA!AO:AO,INPUT_DATA!$A:$A,$B84,INPUT_DATA!$C:$C,"D"))</f>
        <v/>
      </c>
      <c r="CP84" s="153" t="str">
        <f>IF($B84=0,"",SUMIFS(INPUT_DATA!AP:AP,INPUT_DATA!$A:$A,$B84,INPUT_DATA!$C:$C,"D"))</f>
        <v/>
      </c>
      <c r="CQ84" s="153" t="str">
        <f>IF($B84=0,"",SUMIFS(INPUT_DATA!AQ:AQ,INPUT_DATA!$A:$A,$B84,INPUT_DATA!$C:$C,"D"))</f>
        <v/>
      </c>
      <c r="CR84" s="737" t="str">
        <f t="shared" si="32"/>
        <v/>
      </c>
      <c r="CS84" s="737" t="str">
        <f t="shared" si="33"/>
        <v/>
      </c>
      <c r="CT84" s="737" t="str">
        <f t="shared" si="34"/>
        <v/>
      </c>
      <c r="CU84" s="726" t="str">
        <f>IF($B84=0,"",SUMIFS(INPUT_DATA!AR:AR,INPUT_DATA!$A:$A,$B84,INPUT_DATA!$C:$C,"D"))</f>
        <v/>
      </c>
      <c r="CV84" s="726" t="str">
        <f>IF($B84=0,"",SUMIFS(INPUT_DATA!AS:AS,INPUT_DATA!$A:$A,$B84,INPUT_DATA!$C:$C,"D"))</f>
        <v/>
      </c>
      <c r="CW84" s="726" t="str">
        <f>IF($B84=0,"",SUMIFS(INPUT_DATA!AT:AT,INPUT_DATA!$A:$A,$B84,INPUT_DATA!$C:$C,"D"))</f>
        <v/>
      </c>
      <c r="CX84" s="726" t="str">
        <f t="shared" si="35"/>
        <v/>
      </c>
      <c r="CY84" s="737" t="str">
        <f t="shared" si="36"/>
        <v/>
      </c>
      <c r="CZ84" s="748" t="str">
        <f t="shared" si="37"/>
        <v/>
      </c>
      <c r="DA84" s="150"/>
    </row>
    <row r="85" spans="1:105" x14ac:dyDescent="0.2">
      <c r="A85" s="172">
        <f t="shared" si="40"/>
        <v>-38</v>
      </c>
      <c r="B85" s="720">
        <f>INPUT_DATA!BQ72</f>
        <v>0</v>
      </c>
      <c r="C85" s="725" t="str">
        <f>IF($B85=0,"",SUMIFS(INPUT_DATA!D:D,INPUT_DATA!$A:$A,$B85,INPUT_DATA!$C:$C,"S"))</f>
        <v/>
      </c>
      <c r="D85" s="726" t="str">
        <f>IF($B85=0,"",SUMIFS(INPUT_DATA!E:E,INPUT_DATA!$A:$A,$B85,INPUT_DATA!$C:$C,"S"))</f>
        <v/>
      </c>
      <c r="E85" s="727" t="str">
        <f>IF($B85=0,"",SUMIFS(INPUT_DATA!F:F,INPUT_DATA!$A:$A,$B85,INPUT_DATA!$C:$C,"S"))</f>
        <v/>
      </c>
      <c r="F85" s="727" t="str">
        <f>IF($B85=0,"",SUMIFS(INPUT_DATA!G:G,INPUT_DATA!$A:$A,$B85,INPUT_DATA!$C:$C,"S"))</f>
        <v/>
      </c>
      <c r="G85" s="727" t="str">
        <f>IF($B85=0,"",SUMIFS(INPUT_DATA!H:H,INPUT_DATA!$A:$A,$B85,INPUT_DATA!$C:$C,"S"))</f>
        <v/>
      </c>
      <c r="H85" s="727" t="str">
        <f>IF($B85=0,"",SUMIFS(INPUT_DATA!I:I,INPUT_DATA!$A:$A,$B85,INPUT_DATA!$C:$C,"S"))</f>
        <v/>
      </c>
      <c r="I85" s="727" t="str">
        <f>IF($B85=0,"",SUMIFS(INPUT_DATA!J:J,INPUT_DATA!$A:$A,$B85,INPUT_DATA!$C:$C,"S"))</f>
        <v/>
      </c>
      <c r="J85" s="727" t="str">
        <f>IF($B85=0,"",SUMIFS(INPUT_DATA!K:K,INPUT_DATA!$A:$A,$B85,INPUT_DATA!$C:$C,"S"))</f>
        <v/>
      </c>
      <c r="K85" s="727" t="str">
        <f>IF($B85=0,"",SUMIFS(INPUT_DATA!L:L,INPUT_DATA!$A:$A,$B85,INPUT_DATA!$C:$C,"S"))</f>
        <v/>
      </c>
      <c r="L85" s="727" t="str">
        <f>IF($B85=0,"",SUMIFS(INPUT_DATA!M:M,INPUT_DATA!$A:$A,$B85,INPUT_DATA!$C:$C,"S"))</f>
        <v/>
      </c>
      <c r="M85" s="727" t="str">
        <f>IF($B85=0,"",SUMIFS(INPUT_DATA!N:N,INPUT_DATA!$A:$A,$B85,INPUT_DATA!$C:$C,"S"))</f>
        <v/>
      </c>
      <c r="N85" s="727" t="str">
        <f>IF($B85=0,"",SUMIFS(INPUT_DATA!O:O,INPUT_DATA!$A:$A,$B85,INPUT_DATA!$C:$C,"S"))</f>
        <v/>
      </c>
      <c r="O85" s="728" t="str">
        <f t="shared" si="38"/>
        <v/>
      </c>
      <c r="P85" s="729" t="str">
        <f>IF($B85=0,"",SUMIFS(INPUT_DATA!P:P,INPUT_DATA!$A:$A,$B85,INPUT_DATA!$C:$C,"S"))</f>
        <v/>
      </c>
      <c r="Q85" s="729" t="str">
        <f t="shared" si="39"/>
        <v/>
      </c>
      <c r="R85" s="735" t="str">
        <f>IF($B85=0,"",SUMIFS(INPUT_DATA!Q:Q,INPUT_DATA!$A:$A,$B85,INPUT_DATA!$C:$C,"S"))</f>
        <v/>
      </c>
      <c r="S85" s="735" t="str">
        <f>IF($B85=0,"",SUMIFS(INPUT_DATA!R:R,INPUT_DATA!$A:$A,$B85,INPUT_DATA!$C:$C,"S"))</f>
        <v/>
      </c>
      <c r="T85" s="735" t="str">
        <f>IF($B85=0,"",SUMIFS(INPUT_DATA!S:S,INPUT_DATA!$A:$A,$B85,INPUT_DATA!$C:$C,"S"))</f>
        <v/>
      </c>
      <c r="U85" s="312" t="str">
        <f>IF($B85=0,"",SUMIFS(INPUT_DATA!T:T,INPUT_DATA!$A:$A,$B85,INPUT_DATA!$C:$C,"S"))</f>
        <v/>
      </c>
      <c r="V85" s="312" t="str">
        <f>IF($B85=0,"",SUMIFS(INPUT_DATA!U:U,INPUT_DATA!$A:$A,$B85,INPUT_DATA!$C:$C,"S"))</f>
        <v/>
      </c>
      <c r="W85" s="312" t="str">
        <f>IF($B85=0,"",SUMIFS(INPUT_DATA!V:V,INPUT_DATA!$A:$A,$B85,INPUT_DATA!$C:$C,"S"))</f>
        <v/>
      </c>
      <c r="X85" s="312" t="str">
        <f>IF($B85=0,"",SUMIFS(INPUT_DATA!W:W,INPUT_DATA!$A:$A,$B85,INPUT_DATA!$C:$C,"S"))</f>
        <v/>
      </c>
      <c r="Y85" s="312" t="str">
        <f>IF($B85=0,"",SUMIFS(INPUT_DATA!X:X,INPUT_DATA!$A:$A,$B85,INPUT_DATA!$C:$C,"S"))</f>
        <v/>
      </c>
      <c r="Z85" s="312" t="str">
        <f>IF($B85=0,"",SUMIFS(INPUT_DATA!Y:Y,INPUT_DATA!$A:$A,$B85,INPUT_DATA!$C:$C,"S"))</f>
        <v/>
      </c>
      <c r="AA85" s="312" t="str">
        <f>IF($B85=0,"",SUMIFS(INPUT_DATA!Z:Z,INPUT_DATA!$A:$A,$B85,INPUT_DATA!$C:$C,"S"))</f>
        <v/>
      </c>
      <c r="AB85" s="312" t="str">
        <f>IF($B85=0,"",SUMIFS(INPUT_DATA!AA:AA,INPUT_DATA!$A:$A,$B85,INPUT_DATA!$C:$C,"S"))</f>
        <v/>
      </c>
      <c r="AC85" s="312" t="str">
        <f>IF($B85=0,"",SUMIFS(INPUT_DATA!AB:AB,INPUT_DATA!$A:$A,$B85,INPUT_DATA!$C:$C,"S"))</f>
        <v/>
      </c>
      <c r="AD85" s="312" t="str">
        <f>IF($B85=0,"",SUMIFS(INPUT_DATA!AC:AC,INPUT_DATA!$A:$A,$B85,INPUT_DATA!$C:$C,"S"))</f>
        <v/>
      </c>
      <c r="AE85" s="312" t="str">
        <f>IF($B85=0,"",SUMIFS(INPUT_DATA!AD:AD,INPUT_DATA!$A:$A,$B85,INPUT_DATA!$C:$C,"S"))</f>
        <v/>
      </c>
      <c r="AF85" s="312" t="str">
        <f>IF($B85=0,"",SUMIFS(INPUT_DATA!AE:AE,INPUT_DATA!$A:$A,$B85,INPUT_DATA!$C:$C,"S"))</f>
        <v/>
      </c>
      <c r="AG85" s="312" t="str">
        <f>IF($B85=0,"",SUMIFS(INPUT_DATA!AF:AF,INPUT_DATA!$A:$A,$B85,INPUT_DATA!$C:$C,"S"))</f>
        <v/>
      </c>
      <c r="AH85" s="312" t="str">
        <f>IF($B85=0,"",SUMIFS(INPUT_DATA!AG:AG,INPUT_DATA!$A:$A,$B85,INPUT_DATA!$C:$C,"S"))</f>
        <v/>
      </c>
      <c r="AI85" s="312" t="str">
        <f>IF($B85=0,"",SUMIFS(INPUT_DATA!AH:AH,INPUT_DATA!$A:$A,$B85,INPUT_DATA!$C:$C,"S"))</f>
        <v/>
      </c>
      <c r="AJ85" s="312" t="str">
        <f>IF($B85=0,"",SUMIFS(INPUT_DATA!AI:AI,INPUT_DATA!$A:$A,$B85,INPUT_DATA!$C:$C,"S"))</f>
        <v/>
      </c>
      <c r="AK85" s="312" t="str">
        <f>IF($B85=0,"",SUMIFS(INPUT_DATA!AJ:AJ,INPUT_DATA!$A:$A,$B85,INPUT_DATA!$C:$C,"S"))</f>
        <v/>
      </c>
      <c r="AL85" s="312" t="str">
        <f>IF($B85=0,"",SUMIFS(INPUT_DATA!AK:AK,INPUT_DATA!$A:$A,$B85,INPUT_DATA!$C:$C,"S"))</f>
        <v/>
      </c>
      <c r="AM85" s="312" t="str">
        <f>IF($B85=0,"",SUMIFS(INPUT_DATA!AL:AL,INPUT_DATA!$A:$A,$B85,INPUT_DATA!$C:$C,"S"))</f>
        <v/>
      </c>
      <c r="AN85" s="312" t="str">
        <f>IF($B85=0,"",SUMIFS(INPUT_DATA!AM:AM,INPUT_DATA!$A:$A,$B85,INPUT_DATA!$C:$C,"S"))</f>
        <v/>
      </c>
      <c r="AO85" s="312" t="str">
        <f>IF($B85=0,"",SUMIFS(INPUT_DATA!AN:AN,INPUT_DATA!$A:$A,$B85,INPUT_DATA!$C:$C,"S"))</f>
        <v/>
      </c>
      <c r="AP85" s="312" t="str">
        <f>IF($B85=0,"",SUMIFS(INPUT_DATA!AO:AO,INPUT_DATA!$A:$A,$B85,INPUT_DATA!$C:$C,"S"))</f>
        <v/>
      </c>
      <c r="AQ85" s="312" t="str">
        <f>IF($B85=0,"",SUMIFS(INPUT_DATA!AP:AP,INPUT_DATA!$A:$A,$B85,INPUT_DATA!$C:$C,"S"))</f>
        <v/>
      </c>
      <c r="AR85" s="312" t="str">
        <f>IF($B85=0,"",SUMIFS(INPUT_DATA!AQ:AQ,INPUT_DATA!$A:$A,$B85,INPUT_DATA!$C:$C,"S"))</f>
        <v/>
      </c>
      <c r="AS85" s="736" t="str">
        <f t="shared" si="29"/>
        <v/>
      </c>
      <c r="AT85" s="737" t="str">
        <f t="shared" si="30"/>
        <v/>
      </c>
      <c r="AU85" s="738" t="str">
        <f t="shared" si="31"/>
        <v/>
      </c>
      <c r="AV85" s="736" t="str">
        <f>IF($B85=0,"",SUMIFS(INPUT_DATA!AR:AR,INPUT_DATA!$A:$A,$B85,INPUT_DATA!$C:$C,"S"))</f>
        <v/>
      </c>
      <c r="AW85" s="737" t="str">
        <f>IF($B85=0,"",SUMIFS(INPUT_DATA!AS:AS,INPUT_DATA!$A:$A,$B85,INPUT_DATA!$C:$C,"S"))</f>
        <v/>
      </c>
      <c r="AX85" s="738" t="str">
        <f>IF($B85=0,"",SUMIFS(INPUT_DATA!AT:AT,INPUT_DATA!$A:$A,$B85,INPUT_DATA!$C:$C,"S"))</f>
        <v/>
      </c>
      <c r="AY85" s="736" t="str">
        <f t="shared" si="41"/>
        <v/>
      </c>
      <c r="AZ85" s="737" t="str">
        <f t="shared" si="42"/>
        <v/>
      </c>
      <c r="BA85" s="738" t="str">
        <f t="shared" si="43"/>
        <v/>
      </c>
      <c r="BB85" s="150"/>
      <c r="BC85" s="725" t="str">
        <f>IF($B85=0,"",SUMIFS(INPUT_DATA!D:D,INPUT_DATA!$A:$A,$B85,INPUT_DATA!$C:$C,"D"))</f>
        <v/>
      </c>
      <c r="BD85" s="311" t="str">
        <f>IF($B85=0,"",SUMIFS(INPUT_DATA!F:F,INPUT_DATA!$A:$A,$B85,INPUT_DATA!$C:$C,"D"))</f>
        <v/>
      </c>
      <c r="BE85" s="311" t="str">
        <f>IF($B85=0,"",SUMIFS(INPUT_DATA!G:G,INPUT_DATA!$A:$A,$B85,INPUT_DATA!$C:$C,"D"))</f>
        <v/>
      </c>
      <c r="BF85" s="311" t="str">
        <f>IF($B85=0,"",SUMIFS(INPUT_DATA!H:H,INPUT_DATA!$A:$A,$B85,INPUT_DATA!$C:$C,"D"))</f>
        <v/>
      </c>
      <c r="BG85" s="311" t="str">
        <f>IF($B85=0,"",SUMIFS(INPUT_DATA!I:I,INPUT_DATA!$A:$A,$B85,INPUT_DATA!$C:$C,"D"))</f>
        <v/>
      </c>
      <c r="BH85" s="311" t="str">
        <f>IF($B85=0,"",SUMIFS(INPUT_DATA!J:J,INPUT_DATA!$A:$A,$B85,INPUT_DATA!$C:$C,"D"))</f>
        <v/>
      </c>
      <c r="BI85" s="311" t="str">
        <f>IF($B85=0,"",SUMIFS(INPUT_DATA!K:K,INPUT_DATA!$A:$A,$B85,INPUT_DATA!$C:$C,"D"))</f>
        <v/>
      </c>
      <c r="BJ85" s="311" t="str">
        <f>IF($B85=0,"",SUMIFS(INPUT_DATA!L:L,INPUT_DATA!$A:$A,$B85,INPUT_DATA!$C:$C,"D"))</f>
        <v/>
      </c>
      <c r="BK85" s="311" t="str">
        <f>IF($B85=0,"",SUMIFS(INPUT_DATA!M:M,INPUT_DATA!$A:$A,$B85,INPUT_DATA!$C:$C,"D"))</f>
        <v/>
      </c>
      <c r="BL85" s="311" t="str">
        <f>IF($B85=0,"",SUMIFS(INPUT_DATA!N:N,INPUT_DATA!$A:$A,$B85,INPUT_DATA!$C:$C,"D"))</f>
        <v/>
      </c>
      <c r="BM85" s="311" t="str">
        <f>IF($B85=0,"",SUMIFS(INPUT_DATA!O:O,INPUT_DATA!$A:$A,$B85,INPUT_DATA!$C:$C,"D"))</f>
        <v/>
      </c>
      <c r="BN85" s="741" t="str">
        <f t="shared" si="44"/>
        <v/>
      </c>
      <c r="BO85" s="741" t="str">
        <f>IF($B85=0,"",SUMIFS(INPUT_DATA!O:O,INPUT_DATA!$A:$A,$B85,INPUT_DATA!$C:$C,"D"))</f>
        <v/>
      </c>
      <c r="BP85" s="741" t="str">
        <f t="shared" si="45"/>
        <v/>
      </c>
      <c r="BQ85" s="725" t="str">
        <f>IF($B85=0,"",SUMIFS(INPUT_DATA!Q:Q,INPUT_DATA!$A:$A,$B85,INPUT_DATA!$C:$C,"D"))</f>
        <v/>
      </c>
      <c r="BR85" s="747" t="str">
        <f>IF($B85=0,"",SUMIFS(INPUT_DATA!R:R,INPUT_DATA!$A:$A,$B85,INPUT_DATA!$C:$C,"D"))</f>
        <v/>
      </c>
      <c r="BS85" s="747" t="str">
        <f>IF($B85=0,"",SUMIFS(INPUT_DATA!S:S,INPUT_DATA!$A:$A,$B85,INPUT_DATA!$C:$C,"D"))</f>
        <v/>
      </c>
      <c r="BT85" s="311" t="str">
        <f>IF($B85=0,"",SUMIFS(INPUT_DATA!T:T,INPUT_DATA!$A:$A,$B85,INPUT_DATA!$C:$C,"D"))</f>
        <v/>
      </c>
      <c r="BU85" s="311" t="str">
        <f>IF($B85=0,"",SUMIFS(INPUT_DATA!U:U,INPUT_DATA!$A:$A,$B85,INPUT_DATA!$C:$C,"D"))</f>
        <v/>
      </c>
      <c r="BV85" s="311" t="str">
        <f>IF($B85=0,"",SUMIFS(INPUT_DATA!V:V,INPUT_DATA!$A:$A,$B85,INPUT_DATA!$C:$C,"D"))</f>
        <v/>
      </c>
      <c r="BW85" s="311" t="str">
        <f>IF($B85=0,"",SUMIFS(INPUT_DATA!W:W,INPUT_DATA!$A:$A,$B85,INPUT_DATA!$C:$C,"D"))</f>
        <v/>
      </c>
      <c r="BX85" s="311" t="str">
        <f>IF($B85=0,"",SUMIFS(INPUT_DATA!X:X,INPUT_DATA!$A:$A,$B85,INPUT_DATA!$C:$C,"D"))</f>
        <v/>
      </c>
      <c r="BY85" s="311" t="str">
        <f>IF($B85=0,"",SUMIFS(INPUT_DATA!Y:Y,INPUT_DATA!$A:$A,$B85,INPUT_DATA!$C:$C,"D"))</f>
        <v/>
      </c>
      <c r="BZ85" s="352" t="str">
        <f>IF($B85=0,"",SUMIFS(INPUT_DATA!Z:Z,INPUT_DATA!$A:$A,$B85,INPUT_DATA!$C:$C,"D"))</f>
        <v/>
      </c>
      <c r="CA85" s="352" t="str">
        <f>IF($B85=0,"",SUMIFS(INPUT_DATA!AA:AA,INPUT_DATA!$A:$A,$B85,INPUT_DATA!$C:$C,"D"))</f>
        <v/>
      </c>
      <c r="CB85" s="352" t="str">
        <f>IF($B85=0,"",SUMIFS(INPUT_DATA!AB:AB,INPUT_DATA!$A:$A,$B85,INPUT_DATA!$C:$C,"D"))</f>
        <v/>
      </c>
      <c r="CC85" s="311" t="str">
        <f>IF($B85=0,"",SUMIFS(INPUT_DATA!AC:AC,INPUT_DATA!$A:$A,$B85,INPUT_DATA!$C:$C,"D"))</f>
        <v/>
      </c>
      <c r="CD85" s="311" t="str">
        <f>IF($B85=0,"",SUMIFS(INPUT_DATA!AD:AD,INPUT_DATA!$A:$A,$B85,INPUT_DATA!$C:$C,"D"))</f>
        <v/>
      </c>
      <c r="CE85" s="311" t="str">
        <f>IF($B85=0,"",SUMIFS(INPUT_DATA!AE:AE,INPUT_DATA!$A:$A,$B85,INPUT_DATA!$C:$C,"D"))</f>
        <v/>
      </c>
      <c r="CF85" s="352" t="str">
        <f>IF($B85=0,"",SUMIFS(INPUT_DATA!AF:AF,INPUT_DATA!$A:$A,$B85,INPUT_DATA!$C:$C,"D"))</f>
        <v/>
      </c>
      <c r="CG85" s="352" t="str">
        <f>IF($B85=0,"",SUMIFS(INPUT_DATA!AG:AG,INPUT_DATA!$A:$A,$B85,INPUT_DATA!$C:$C,"D"))</f>
        <v/>
      </c>
      <c r="CH85" s="352" t="str">
        <f>IF($B85=0,"",SUMIFS(INPUT_DATA!AH:AH,INPUT_DATA!$A:$A,$B85,INPUT_DATA!$C:$C,"D"))</f>
        <v/>
      </c>
      <c r="CI85" s="153" t="str">
        <f>IF($B85=0,"",SUMIFS(INPUT_DATA!AI:AI,INPUT_DATA!$A:$A,$B85,INPUT_DATA!$C:$C,"D"))</f>
        <v/>
      </c>
      <c r="CJ85" s="153" t="str">
        <f>IF($B85=0,"",SUMIFS(INPUT_DATA!AJ:AJ,INPUT_DATA!$A:$A,$B85,INPUT_DATA!$C:$C,"D"))</f>
        <v/>
      </c>
      <c r="CK85" s="153" t="str">
        <f>IF($B85=0,"",SUMIFS(INPUT_DATA!AK:AK,INPUT_DATA!$A:$A,$B85,INPUT_DATA!$C:$C,"D"))</f>
        <v/>
      </c>
      <c r="CL85" s="153" t="str">
        <f>IF($B85=0,"",SUMIFS(INPUT_DATA!AL:AL,INPUT_DATA!$A:$A,$B85,INPUT_DATA!$C:$C,"D"))</f>
        <v/>
      </c>
      <c r="CM85" s="153" t="str">
        <f>IF($B85=0,"",SUMIFS(INPUT_DATA!AM:AM,INPUT_DATA!$A:$A,$B85,INPUT_DATA!$C:$C,"D"))</f>
        <v/>
      </c>
      <c r="CN85" s="153" t="str">
        <f>IF($B85=0,"",SUMIFS(INPUT_DATA!AN:AN,INPUT_DATA!$A:$A,$B85,INPUT_DATA!$C:$C,"D"))</f>
        <v/>
      </c>
      <c r="CO85" s="153" t="str">
        <f>IF($B85=0,"",SUMIFS(INPUT_DATA!AO:AO,INPUT_DATA!$A:$A,$B85,INPUT_DATA!$C:$C,"D"))</f>
        <v/>
      </c>
      <c r="CP85" s="153" t="str">
        <f>IF($B85=0,"",SUMIFS(INPUT_DATA!AP:AP,INPUT_DATA!$A:$A,$B85,INPUT_DATA!$C:$C,"D"))</f>
        <v/>
      </c>
      <c r="CQ85" s="153" t="str">
        <f>IF($B85=0,"",SUMIFS(INPUT_DATA!AQ:AQ,INPUT_DATA!$A:$A,$B85,INPUT_DATA!$C:$C,"D"))</f>
        <v/>
      </c>
      <c r="CR85" s="737" t="str">
        <f t="shared" si="32"/>
        <v/>
      </c>
      <c r="CS85" s="737" t="str">
        <f t="shared" si="33"/>
        <v/>
      </c>
      <c r="CT85" s="737" t="str">
        <f t="shared" si="34"/>
        <v/>
      </c>
      <c r="CU85" s="726" t="str">
        <f>IF($B85=0,"",SUMIFS(INPUT_DATA!AR:AR,INPUT_DATA!$A:$A,$B85,INPUT_DATA!$C:$C,"D"))</f>
        <v/>
      </c>
      <c r="CV85" s="726" t="str">
        <f>IF($B85=0,"",SUMIFS(INPUT_DATA!AS:AS,INPUT_DATA!$A:$A,$B85,INPUT_DATA!$C:$C,"D"))</f>
        <v/>
      </c>
      <c r="CW85" s="726" t="str">
        <f>IF($B85=0,"",SUMIFS(INPUT_DATA!AT:AT,INPUT_DATA!$A:$A,$B85,INPUT_DATA!$C:$C,"D"))</f>
        <v/>
      </c>
      <c r="CX85" s="726" t="str">
        <f t="shared" si="35"/>
        <v/>
      </c>
      <c r="CY85" s="737" t="str">
        <f t="shared" si="36"/>
        <v/>
      </c>
      <c r="CZ85" s="748" t="str">
        <f t="shared" si="37"/>
        <v/>
      </c>
      <c r="DA85" s="150"/>
    </row>
    <row r="86" spans="1:105" x14ac:dyDescent="0.2">
      <c r="A86" s="172">
        <f t="shared" si="40"/>
        <v>-39</v>
      </c>
      <c r="B86" s="720">
        <f>INPUT_DATA!BQ73</f>
        <v>0</v>
      </c>
      <c r="C86" s="725" t="str">
        <f>IF($B86=0,"",SUMIFS(INPUT_DATA!D:D,INPUT_DATA!$A:$A,$B86,INPUT_DATA!$C:$C,"S"))</f>
        <v/>
      </c>
      <c r="D86" s="726" t="str">
        <f>IF($B86=0,"",SUMIFS(INPUT_DATA!E:E,INPUT_DATA!$A:$A,$B86,INPUT_DATA!$C:$C,"S"))</f>
        <v/>
      </c>
      <c r="E86" s="727" t="str">
        <f>IF($B86=0,"",SUMIFS(INPUT_DATA!F:F,INPUT_DATA!$A:$A,$B86,INPUT_DATA!$C:$C,"S"))</f>
        <v/>
      </c>
      <c r="F86" s="727" t="str">
        <f>IF($B86=0,"",SUMIFS(INPUT_DATA!G:G,INPUT_DATA!$A:$A,$B86,INPUT_DATA!$C:$C,"S"))</f>
        <v/>
      </c>
      <c r="G86" s="727" t="str">
        <f>IF($B86=0,"",SUMIFS(INPUT_DATA!H:H,INPUT_DATA!$A:$A,$B86,INPUT_DATA!$C:$C,"S"))</f>
        <v/>
      </c>
      <c r="H86" s="727" t="str">
        <f>IF($B86=0,"",SUMIFS(INPUT_DATA!I:I,INPUT_DATA!$A:$A,$B86,INPUT_DATA!$C:$C,"S"))</f>
        <v/>
      </c>
      <c r="I86" s="727" t="str">
        <f>IF($B86=0,"",SUMIFS(INPUT_DATA!J:J,INPUT_DATA!$A:$A,$B86,INPUT_DATA!$C:$C,"S"))</f>
        <v/>
      </c>
      <c r="J86" s="727" t="str">
        <f>IF($B86=0,"",SUMIFS(INPUT_DATA!K:K,INPUT_DATA!$A:$A,$B86,INPUT_DATA!$C:$C,"S"))</f>
        <v/>
      </c>
      <c r="K86" s="727" t="str">
        <f>IF($B86=0,"",SUMIFS(INPUT_DATA!L:L,INPUT_DATA!$A:$A,$B86,INPUT_DATA!$C:$C,"S"))</f>
        <v/>
      </c>
      <c r="L86" s="727" t="str">
        <f>IF($B86=0,"",SUMIFS(INPUT_DATA!M:M,INPUT_DATA!$A:$A,$B86,INPUT_DATA!$C:$C,"S"))</f>
        <v/>
      </c>
      <c r="M86" s="727" t="str">
        <f>IF($B86=0,"",SUMIFS(INPUT_DATA!N:N,INPUT_DATA!$A:$A,$B86,INPUT_DATA!$C:$C,"S"))</f>
        <v/>
      </c>
      <c r="N86" s="727" t="str">
        <f>IF($B86=0,"",SUMIFS(INPUT_DATA!O:O,INPUT_DATA!$A:$A,$B86,INPUT_DATA!$C:$C,"S"))</f>
        <v/>
      </c>
      <c r="O86" s="728" t="str">
        <f t="shared" si="38"/>
        <v/>
      </c>
      <c r="P86" s="729" t="str">
        <f>IF($B86=0,"",SUMIFS(INPUT_DATA!P:P,INPUT_DATA!$A:$A,$B86,INPUT_DATA!$C:$C,"S"))</f>
        <v/>
      </c>
      <c r="Q86" s="729" t="str">
        <f t="shared" si="39"/>
        <v/>
      </c>
      <c r="R86" s="735" t="str">
        <f>IF($B86=0,"",SUMIFS(INPUT_DATA!Q:Q,INPUT_DATA!$A:$A,$B86,INPUT_DATA!$C:$C,"S"))</f>
        <v/>
      </c>
      <c r="S86" s="735" t="str">
        <f>IF($B86=0,"",SUMIFS(INPUT_DATA!R:R,INPUT_DATA!$A:$A,$B86,INPUT_DATA!$C:$C,"S"))</f>
        <v/>
      </c>
      <c r="T86" s="735" t="str">
        <f>IF($B86=0,"",SUMIFS(INPUT_DATA!S:S,INPUT_DATA!$A:$A,$B86,INPUT_DATA!$C:$C,"S"))</f>
        <v/>
      </c>
      <c r="U86" s="312" t="str">
        <f>IF($B86=0,"",SUMIFS(INPUT_DATA!T:T,INPUT_DATA!$A:$A,$B86,INPUT_DATA!$C:$C,"S"))</f>
        <v/>
      </c>
      <c r="V86" s="312" t="str">
        <f>IF($B86=0,"",SUMIFS(INPUT_DATA!U:U,INPUT_DATA!$A:$A,$B86,INPUT_DATA!$C:$C,"S"))</f>
        <v/>
      </c>
      <c r="W86" s="312" t="str">
        <f>IF($B86=0,"",SUMIFS(INPUT_DATA!V:V,INPUT_DATA!$A:$A,$B86,INPUT_DATA!$C:$C,"S"))</f>
        <v/>
      </c>
      <c r="X86" s="312" t="str">
        <f>IF($B86=0,"",SUMIFS(INPUT_DATA!W:W,INPUT_DATA!$A:$A,$B86,INPUT_DATA!$C:$C,"S"))</f>
        <v/>
      </c>
      <c r="Y86" s="312" t="str">
        <f>IF($B86=0,"",SUMIFS(INPUT_DATA!X:X,INPUT_DATA!$A:$A,$B86,INPUT_DATA!$C:$C,"S"))</f>
        <v/>
      </c>
      <c r="Z86" s="312" t="str">
        <f>IF($B86=0,"",SUMIFS(INPUT_DATA!Y:Y,INPUT_DATA!$A:$A,$B86,INPUT_DATA!$C:$C,"S"))</f>
        <v/>
      </c>
      <c r="AA86" s="312" t="str">
        <f>IF($B86=0,"",SUMIFS(INPUT_DATA!Z:Z,INPUT_DATA!$A:$A,$B86,INPUT_DATA!$C:$C,"S"))</f>
        <v/>
      </c>
      <c r="AB86" s="312" t="str">
        <f>IF($B86=0,"",SUMIFS(INPUT_DATA!AA:AA,INPUT_DATA!$A:$A,$B86,INPUT_DATA!$C:$C,"S"))</f>
        <v/>
      </c>
      <c r="AC86" s="312" t="str">
        <f>IF($B86=0,"",SUMIFS(INPUT_DATA!AB:AB,INPUT_DATA!$A:$A,$B86,INPUT_DATA!$C:$C,"S"))</f>
        <v/>
      </c>
      <c r="AD86" s="312" t="str">
        <f>IF($B86=0,"",SUMIFS(INPUT_DATA!AC:AC,INPUT_DATA!$A:$A,$B86,INPUT_DATA!$C:$C,"S"))</f>
        <v/>
      </c>
      <c r="AE86" s="312" t="str">
        <f>IF($B86=0,"",SUMIFS(INPUT_DATA!AD:AD,INPUT_DATA!$A:$A,$B86,INPUT_DATA!$C:$C,"S"))</f>
        <v/>
      </c>
      <c r="AF86" s="312" t="str">
        <f>IF($B86=0,"",SUMIFS(INPUT_DATA!AE:AE,INPUT_DATA!$A:$A,$B86,INPUT_DATA!$C:$C,"S"))</f>
        <v/>
      </c>
      <c r="AG86" s="312" t="str">
        <f>IF($B86=0,"",SUMIFS(INPUT_DATA!AF:AF,INPUT_DATA!$A:$A,$B86,INPUT_DATA!$C:$C,"S"))</f>
        <v/>
      </c>
      <c r="AH86" s="312" t="str">
        <f>IF($B86=0,"",SUMIFS(INPUT_DATA!AG:AG,INPUT_DATA!$A:$A,$B86,INPUT_DATA!$C:$C,"S"))</f>
        <v/>
      </c>
      <c r="AI86" s="312" t="str">
        <f>IF($B86=0,"",SUMIFS(INPUT_DATA!AH:AH,INPUT_DATA!$A:$A,$B86,INPUT_DATA!$C:$C,"S"))</f>
        <v/>
      </c>
      <c r="AJ86" s="312" t="str">
        <f>IF($B86=0,"",SUMIFS(INPUT_DATA!AI:AI,INPUT_DATA!$A:$A,$B86,INPUT_DATA!$C:$C,"S"))</f>
        <v/>
      </c>
      <c r="AK86" s="312" t="str">
        <f>IF($B86=0,"",SUMIFS(INPUT_DATA!AJ:AJ,INPUT_DATA!$A:$A,$B86,INPUT_DATA!$C:$C,"S"))</f>
        <v/>
      </c>
      <c r="AL86" s="312" t="str">
        <f>IF($B86=0,"",SUMIFS(INPUT_DATA!AK:AK,INPUT_DATA!$A:$A,$B86,INPUT_DATA!$C:$C,"S"))</f>
        <v/>
      </c>
      <c r="AM86" s="312" t="str">
        <f>IF($B86=0,"",SUMIFS(INPUT_DATA!AL:AL,INPUT_DATA!$A:$A,$B86,INPUT_DATA!$C:$C,"S"))</f>
        <v/>
      </c>
      <c r="AN86" s="312" t="str">
        <f>IF($B86=0,"",SUMIFS(INPUT_DATA!AM:AM,INPUT_DATA!$A:$A,$B86,INPUT_DATA!$C:$C,"S"))</f>
        <v/>
      </c>
      <c r="AO86" s="312" t="str">
        <f>IF($B86=0,"",SUMIFS(INPUT_DATA!AN:AN,INPUT_DATA!$A:$A,$B86,INPUT_DATA!$C:$C,"S"))</f>
        <v/>
      </c>
      <c r="AP86" s="312" t="str">
        <f>IF($B86=0,"",SUMIFS(INPUT_DATA!AO:AO,INPUT_DATA!$A:$A,$B86,INPUT_DATA!$C:$C,"S"))</f>
        <v/>
      </c>
      <c r="AQ86" s="312" t="str">
        <f>IF($B86=0,"",SUMIFS(INPUT_DATA!AP:AP,INPUT_DATA!$A:$A,$B86,INPUT_DATA!$C:$C,"S"))</f>
        <v/>
      </c>
      <c r="AR86" s="312" t="str">
        <f>IF($B86=0,"",SUMIFS(INPUT_DATA!AQ:AQ,INPUT_DATA!$A:$A,$B86,INPUT_DATA!$C:$C,"S"))</f>
        <v/>
      </c>
      <c r="AS86" s="736" t="str">
        <f t="shared" si="29"/>
        <v/>
      </c>
      <c r="AT86" s="737" t="str">
        <f t="shared" si="30"/>
        <v/>
      </c>
      <c r="AU86" s="738" t="str">
        <f t="shared" si="31"/>
        <v/>
      </c>
      <c r="AV86" s="736" t="str">
        <f>IF($B86=0,"",SUMIFS(INPUT_DATA!AR:AR,INPUT_DATA!$A:$A,$B86,INPUT_DATA!$C:$C,"S"))</f>
        <v/>
      </c>
      <c r="AW86" s="737" t="str">
        <f>IF($B86=0,"",SUMIFS(INPUT_DATA!AS:AS,INPUT_DATA!$A:$A,$B86,INPUT_DATA!$C:$C,"S"))</f>
        <v/>
      </c>
      <c r="AX86" s="738" t="str">
        <f>IF($B86=0,"",SUMIFS(INPUT_DATA!AT:AT,INPUT_DATA!$A:$A,$B86,INPUT_DATA!$C:$C,"S"))</f>
        <v/>
      </c>
      <c r="AY86" s="736" t="str">
        <f t="shared" si="41"/>
        <v/>
      </c>
      <c r="AZ86" s="737" t="str">
        <f t="shared" si="42"/>
        <v/>
      </c>
      <c r="BA86" s="738" t="str">
        <f t="shared" si="43"/>
        <v/>
      </c>
      <c r="BB86" s="150"/>
      <c r="BC86" s="725" t="str">
        <f>IF($B86=0,"",SUMIFS(INPUT_DATA!D:D,INPUT_DATA!$A:$A,$B86,INPUT_DATA!$C:$C,"D"))</f>
        <v/>
      </c>
      <c r="BD86" s="311" t="str">
        <f>IF($B86=0,"",SUMIFS(INPUT_DATA!F:F,INPUT_DATA!$A:$A,$B86,INPUT_DATA!$C:$C,"D"))</f>
        <v/>
      </c>
      <c r="BE86" s="311" t="str">
        <f>IF($B86=0,"",SUMIFS(INPUT_DATA!G:G,INPUT_DATA!$A:$A,$B86,INPUT_DATA!$C:$C,"D"))</f>
        <v/>
      </c>
      <c r="BF86" s="311" t="str">
        <f>IF($B86=0,"",SUMIFS(INPUT_DATA!H:H,INPUT_DATA!$A:$A,$B86,INPUT_DATA!$C:$C,"D"))</f>
        <v/>
      </c>
      <c r="BG86" s="311" t="str">
        <f>IF($B86=0,"",SUMIFS(INPUT_DATA!I:I,INPUT_DATA!$A:$A,$B86,INPUT_DATA!$C:$C,"D"))</f>
        <v/>
      </c>
      <c r="BH86" s="311" t="str">
        <f>IF($B86=0,"",SUMIFS(INPUT_DATA!J:J,INPUT_DATA!$A:$A,$B86,INPUT_DATA!$C:$C,"D"))</f>
        <v/>
      </c>
      <c r="BI86" s="311" t="str">
        <f>IF($B86=0,"",SUMIFS(INPUT_DATA!K:K,INPUT_DATA!$A:$A,$B86,INPUT_DATA!$C:$C,"D"))</f>
        <v/>
      </c>
      <c r="BJ86" s="311" t="str">
        <f>IF($B86=0,"",SUMIFS(INPUT_DATA!L:L,INPUT_DATA!$A:$A,$B86,INPUT_DATA!$C:$C,"D"))</f>
        <v/>
      </c>
      <c r="BK86" s="311" t="str">
        <f>IF($B86=0,"",SUMIFS(INPUT_DATA!M:M,INPUT_DATA!$A:$A,$B86,INPUT_DATA!$C:$C,"D"))</f>
        <v/>
      </c>
      <c r="BL86" s="311" t="str">
        <f>IF($B86=0,"",SUMIFS(INPUT_DATA!N:N,INPUT_DATA!$A:$A,$B86,INPUT_DATA!$C:$C,"D"))</f>
        <v/>
      </c>
      <c r="BM86" s="311" t="str">
        <f>IF($B86=0,"",SUMIFS(INPUT_DATA!O:O,INPUT_DATA!$A:$A,$B86,INPUT_DATA!$C:$C,"D"))</f>
        <v/>
      </c>
      <c r="BN86" s="741" t="str">
        <f t="shared" si="44"/>
        <v/>
      </c>
      <c r="BO86" s="741" t="str">
        <f>IF($B86=0,"",SUMIFS(INPUT_DATA!O:O,INPUT_DATA!$A:$A,$B86,INPUT_DATA!$C:$C,"D"))</f>
        <v/>
      </c>
      <c r="BP86" s="741" t="str">
        <f t="shared" si="45"/>
        <v/>
      </c>
      <c r="BQ86" s="725" t="str">
        <f>IF($B86=0,"",SUMIFS(INPUT_DATA!Q:Q,INPUT_DATA!$A:$A,$B86,INPUT_DATA!$C:$C,"D"))</f>
        <v/>
      </c>
      <c r="BR86" s="747" t="str">
        <f>IF($B86=0,"",SUMIFS(INPUT_DATA!R:R,INPUT_DATA!$A:$A,$B86,INPUT_DATA!$C:$C,"D"))</f>
        <v/>
      </c>
      <c r="BS86" s="747" t="str">
        <f>IF($B86=0,"",SUMIFS(INPUT_DATA!S:S,INPUT_DATA!$A:$A,$B86,INPUT_DATA!$C:$C,"D"))</f>
        <v/>
      </c>
      <c r="BT86" s="311" t="str">
        <f>IF($B86=0,"",SUMIFS(INPUT_DATA!T:T,INPUT_DATA!$A:$A,$B86,INPUT_DATA!$C:$C,"D"))</f>
        <v/>
      </c>
      <c r="BU86" s="311" t="str">
        <f>IF($B86=0,"",SUMIFS(INPUT_DATA!U:U,INPUT_DATA!$A:$A,$B86,INPUT_DATA!$C:$C,"D"))</f>
        <v/>
      </c>
      <c r="BV86" s="311" t="str">
        <f>IF($B86=0,"",SUMIFS(INPUT_DATA!V:V,INPUT_DATA!$A:$A,$B86,INPUT_DATA!$C:$C,"D"))</f>
        <v/>
      </c>
      <c r="BW86" s="311" t="str">
        <f>IF($B86=0,"",SUMIFS(INPUT_DATA!W:W,INPUT_DATA!$A:$A,$B86,INPUT_DATA!$C:$C,"D"))</f>
        <v/>
      </c>
      <c r="BX86" s="311" t="str">
        <f>IF($B86=0,"",SUMIFS(INPUT_DATA!X:X,INPUT_DATA!$A:$A,$B86,INPUT_DATA!$C:$C,"D"))</f>
        <v/>
      </c>
      <c r="BY86" s="311" t="str">
        <f>IF($B86=0,"",SUMIFS(INPUT_DATA!Y:Y,INPUT_DATA!$A:$A,$B86,INPUT_DATA!$C:$C,"D"))</f>
        <v/>
      </c>
      <c r="BZ86" s="352" t="str">
        <f>IF($B86=0,"",SUMIFS(INPUT_DATA!Z:Z,INPUT_DATA!$A:$A,$B86,INPUT_DATA!$C:$C,"D"))</f>
        <v/>
      </c>
      <c r="CA86" s="352" t="str">
        <f>IF($B86=0,"",SUMIFS(INPUT_DATA!AA:AA,INPUT_DATA!$A:$A,$B86,INPUT_DATA!$C:$C,"D"))</f>
        <v/>
      </c>
      <c r="CB86" s="352" t="str">
        <f>IF($B86=0,"",SUMIFS(INPUT_DATA!AB:AB,INPUT_DATA!$A:$A,$B86,INPUT_DATA!$C:$C,"D"))</f>
        <v/>
      </c>
      <c r="CC86" s="311" t="str">
        <f>IF($B86=0,"",SUMIFS(INPUT_DATA!AC:AC,INPUT_DATA!$A:$A,$B86,INPUT_DATA!$C:$C,"D"))</f>
        <v/>
      </c>
      <c r="CD86" s="311" t="str">
        <f>IF($B86=0,"",SUMIFS(INPUT_DATA!AD:AD,INPUT_DATA!$A:$A,$B86,INPUT_DATA!$C:$C,"D"))</f>
        <v/>
      </c>
      <c r="CE86" s="311" t="str">
        <f>IF($B86=0,"",SUMIFS(INPUT_DATA!AE:AE,INPUT_DATA!$A:$A,$B86,INPUT_DATA!$C:$C,"D"))</f>
        <v/>
      </c>
      <c r="CF86" s="352" t="str">
        <f>IF($B86=0,"",SUMIFS(INPUT_DATA!AF:AF,INPUT_DATA!$A:$A,$B86,INPUT_DATA!$C:$C,"D"))</f>
        <v/>
      </c>
      <c r="CG86" s="352" t="str">
        <f>IF($B86=0,"",SUMIFS(INPUT_DATA!AG:AG,INPUT_DATA!$A:$A,$B86,INPUT_DATA!$C:$C,"D"))</f>
        <v/>
      </c>
      <c r="CH86" s="352" t="str">
        <f>IF($B86=0,"",SUMIFS(INPUT_DATA!AH:AH,INPUT_DATA!$A:$A,$B86,INPUT_DATA!$C:$C,"D"))</f>
        <v/>
      </c>
      <c r="CI86" s="153" t="str">
        <f>IF($B86=0,"",SUMIFS(INPUT_DATA!AI:AI,INPUT_DATA!$A:$A,$B86,INPUT_DATA!$C:$C,"D"))</f>
        <v/>
      </c>
      <c r="CJ86" s="153" t="str">
        <f>IF($B86=0,"",SUMIFS(INPUT_DATA!AJ:AJ,INPUT_DATA!$A:$A,$B86,INPUT_DATA!$C:$C,"D"))</f>
        <v/>
      </c>
      <c r="CK86" s="153" t="str">
        <f>IF($B86=0,"",SUMIFS(INPUT_DATA!AK:AK,INPUT_DATA!$A:$A,$B86,INPUT_DATA!$C:$C,"D"))</f>
        <v/>
      </c>
      <c r="CL86" s="153" t="str">
        <f>IF($B86=0,"",SUMIFS(INPUT_DATA!AL:AL,INPUT_DATA!$A:$A,$B86,INPUT_DATA!$C:$C,"D"))</f>
        <v/>
      </c>
      <c r="CM86" s="153" t="str">
        <f>IF($B86=0,"",SUMIFS(INPUT_DATA!AM:AM,INPUT_DATA!$A:$A,$B86,INPUT_DATA!$C:$C,"D"))</f>
        <v/>
      </c>
      <c r="CN86" s="153" t="str">
        <f>IF($B86=0,"",SUMIFS(INPUT_DATA!AN:AN,INPUT_DATA!$A:$A,$B86,INPUT_DATA!$C:$C,"D"))</f>
        <v/>
      </c>
      <c r="CO86" s="153" t="str">
        <f>IF($B86=0,"",SUMIFS(INPUT_DATA!AO:AO,INPUT_DATA!$A:$A,$B86,INPUT_DATA!$C:$C,"D"))</f>
        <v/>
      </c>
      <c r="CP86" s="153" t="str">
        <f>IF($B86=0,"",SUMIFS(INPUT_DATA!AP:AP,INPUT_DATA!$A:$A,$B86,INPUT_DATA!$C:$C,"D"))</f>
        <v/>
      </c>
      <c r="CQ86" s="153" t="str">
        <f>IF($B86=0,"",SUMIFS(INPUT_DATA!AQ:AQ,INPUT_DATA!$A:$A,$B86,INPUT_DATA!$C:$C,"D"))</f>
        <v/>
      </c>
      <c r="CR86" s="737" t="str">
        <f t="shared" si="32"/>
        <v/>
      </c>
      <c r="CS86" s="737" t="str">
        <f t="shared" si="33"/>
        <v/>
      </c>
      <c r="CT86" s="737" t="str">
        <f t="shared" si="34"/>
        <v/>
      </c>
      <c r="CU86" s="726" t="str">
        <f>IF($B86=0,"",SUMIFS(INPUT_DATA!AR:AR,INPUT_DATA!$A:$A,$B86,INPUT_DATA!$C:$C,"D"))</f>
        <v/>
      </c>
      <c r="CV86" s="726" t="str">
        <f>IF($B86=0,"",SUMIFS(INPUT_DATA!AS:AS,INPUT_DATA!$A:$A,$B86,INPUT_DATA!$C:$C,"D"))</f>
        <v/>
      </c>
      <c r="CW86" s="726" t="str">
        <f>IF($B86=0,"",SUMIFS(INPUT_DATA!AT:AT,INPUT_DATA!$A:$A,$B86,INPUT_DATA!$C:$C,"D"))</f>
        <v/>
      </c>
      <c r="CX86" s="726" t="str">
        <f t="shared" si="35"/>
        <v/>
      </c>
      <c r="CY86" s="737" t="str">
        <f t="shared" si="36"/>
        <v/>
      </c>
      <c r="CZ86" s="748" t="str">
        <f t="shared" si="37"/>
        <v/>
      </c>
      <c r="DA86" s="150"/>
    </row>
    <row r="87" spans="1:105" ht="13.5" thickBot="1" x14ac:dyDescent="0.25">
      <c r="A87" s="172">
        <f t="shared" si="40"/>
        <v>-40</v>
      </c>
      <c r="B87" s="721">
        <f>INPUT_DATA!BQ74</f>
        <v>0</v>
      </c>
      <c r="C87" s="730" t="str">
        <f>IF($B87=0,"",SUMIFS(INPUT_DATA!D:D,INPUT_DATA!$A:$A,$B87,INPUT_DATA!$C:$C,"S"))</f>
        <v/>
      </c>
      <c r="D87" s="731" t="str">
        <f>IF($B87=0,"",SUMIFS(INPUT_DATA!E:E,INPUT_DATA!$A:$A,$B87,INPUT_DATA!$C:$C,"S"))</f>
        <v/>
      </c>
      <c r="E87" s="732" t="str">
        <f>IF($B87=0,"",SUMIFS(INPUT_DATA!F:F,INPUT_DATA!$A:$A,$B87,INPUT_DATA!$C:$C,"S"))</f>
        <v/>
      </c>
      <c r="F87" s="732" t="str">
        <f>IF($B87=0,"",SUMIFS(INPUT_DATA!G:G,INPUT_DATA!$A:$A,$B87,INPUT_DATA!$C:$C,"S"))</f>
        <v/>
      </c>
      <c r="G87" s="732" t="str">
        <f>IF($B87=0,"",SUMIFS(INPUT_DATA!H:H,INPUT_DATA!$A:$A,$B87,INPUT_DATA!$C:$C,"S"))</f>
        <v/>
      </c>
      <c r="H87" s="732" t="str">
        <f>IF($B87=0,"",SUMIFS(INPUT_DATA!I:I,INPUT_DATA!$A:$A,$B87,INPUT_DATA!$C:$C,"S"))</f>
        <v/>
      </c>
      <c r="I87" s="732" t="str">
        <f>IF($B87=0,"",SUMIFS(INPUT_DATA!J:J,INPUT_DATA!$A:$A,$B87,INPUT_DATA!$C:$C,"S"))</f>
        <v/>
      </c>
      <c r="J87" s="732" t="str">
        <f>IF($B87=0,"",SUMIFS(INPUT_DATA!K:K,INPUT_DATA!$A:$A,$B87,INPUT_DATA!$C:$C,"S"))</f>
        <v/>
      </c>
      <c r="K87" s="732" t="str">
        <f>IF($B87=0,"",SUMIFS(INPUT_DATA!L:L,INPUT_DATA!$A:$A,$B87,INPUT_DATA!$C:$C,"S"))</f>
        <v/>
      </c>
      <c r="L87" s="732" t="str">
        <f>IF($B87=0,"",SUMIFS(INPUT_DATA!M:M,INPUT_DATA!$A:$A,$B87,INPUT_DATA!$C:$C,"S"))</f>
        <v/>
      </c>
      <c r="M87" s="732" t="str">
        <f>IF($B87=0,"",SUMIFS(INPUT_DATA!N:N,INPUT_DATA!$A:$A,$B87,INPUT_DATA!$C:$C,"S"))</f>
        <v/>
      </c>
      <c r="N87" s="732" t="str">
        <f>IF($B87=0,"",SUMIFS(INPUT_DATA!O:O,INPUT_DATA!$A:$A,$B87,INPUT_DATA!$C:$C,"S"))</f>
        <v/>
      </c>
      <c r="O87" s="733" t="str">
        <f t="shared" si="38"/>
        <v/>
      </c>
      <c r="P87" s="734" t="str">
        <f>IF($B87=0,"",SUMIFS(INPUT_DATA!P:P,INPUT_DATA!$A:$A,$B87,INPUT_DATA!$C:$C,"S"))</f>
        <v/>
      </c>
      <c r="Q87" s="734" t="str">
        <f t="shared" si="39"/>
        <v/>
      </c>
      <c r="R87" s="735" t="str">
        <f>IF($B87=0,"",SUMIFS(INPUT_DATA!Q:Q,INPUT_DATA!$A:$A,$B87,INPUT_DATA!$C:$C,"S"))</f>
        <v/>
      </c>
      <c r="S87" s="735" t="str">
        <f>IF($B87=0,"",SUMIFS(INPUT_DATA!R:R,INPUT_DATA!$A:$A,$B87,INPUT_DATA!$C:$C,"S"))</f>
        <v/>
      </c>
      <c r="T87" s="735" t="str">
        <f>IF($B87=0,"",SUMIFS(INPUT_DATA!S:S,INPUT_DATA!$A:$A,$B87,INPUT_DATA!$C:$C,"S"))</f>
        <v/>
      </c>
      <c r="U87" s="312" t="str">
        <f>IF($B87=0,"",SUMIFS(INPUT_DATA!T:T,INPUT_DATA!$A:$A,$B87,INPUT_DATA!$C:$C,"S"))</f>
        <v/>
      </c>
      <c r="V87" s="312" t="str">
        <f>IF($B87=0,"",SUMIFS(INPUT_DATA!U:U,INPUT_DATA!$A:$A,$B87,INPUT_DATA!$C:$C,"S"))</f>
        <v/>
      </c>
      <c r="W87" s="312" t="str">
        <f>IF($B87=0,"",SUMIFS(INPUT_DATA!V:V,INPUT_DATA!$A:$A,$B87,INPUT_DATA!$C:$C,"S"))</f>
        <v/>
      </c>
      <c r="X87" s="312" t="str">
        <f>IF($B87=0,"",SUMIFS(INPUT_DATA!W:W,INPUT_DATA!$A:$A,$B87,INPUT_DATA!$C:$C,"S"))</f>
        <v/>
      </c>
      <c r="Y87" s="312" t="str">
        <f>IF($B87=0,"",SUMIFS(INPUT_DATA!X:X,INPUT_DATA!$A:$A,$B87,INPUT_DATA!$C:$C,"S"))</f>
        <v/>
      </c>
      <c r="Z87" s="312" t="str">
        <f>IF($B87=0,"",SUMIFS(INPUT_DATA!Y:Y,INPUT_DATA!$A:$A,$B87,INPUT_DATA!$C:$C,"S"))</f>
        <v/>
      </c>
      <c r="AA87" s="312" t="str">
        <f>IF($B87=0,"",SUMIFS(INPUT_DATA!Z:Z,INPUT_DATA!$A:$A,$B87,INPUT_DATA!$C:$C,"S"))</f>
        <v/>
      </c>
      <c r="AB87" s="312" t="str">
        <f>IF($B87=0,"",SUMIFS(INPUT_DATA!AA:AA,INPUT_DATA!$A:$A,$B87,INPUT_DATA!$C:$C,"S"))</f>
        <v/>
      </c>
      <c r="AC87" s="312" t="str">
        <f>IF($B87=0,"",SUMIFS(INPUT_DATA!AB:AB,INPUT_DATA!$A:$A,$B87,INPUT_DATA!$C:$C,"S"))</f>
        <v/>
      </c>
      <c r="AD87" s="312" t="str">
        <f>IF($B87=0,"",SUMIFS(INPUT_DATA!AC:AC,INPUT_DATA!$A:$A,$B87,INPUT_DATA!$C:$C,"S"))</f>
        <v/>
      </c>
      <c r="AE87" s="312" t="str">
        <f>IF($B87=0,"",SUMIFS(INPUT_DATA!AD:AD,INPUT_DATA!$A:$A,$B87,INPUT_DATA!$C:$C,"S"))</f>
        <v/>
      </c>
      <c r="AF87" s="312" t="str">
        <f>IF($B87=0,"",SUMIFS(INPUT_DATA!AE:AE,INPUT_DATA!$A:$A,$B87,INPUT_DATA!$C:$C,"S"))</f>
        <v/>
      </c>
      <c r="AG87" s="312" t="str">
        <f>IF($B87=0,"",SUMIFS(INPUT_DATA!AF:AF,INPUT_DATA!$A:$A,$B87,INPUT_DATA!$C:$C,"S"))</f>
        <v/>
      </c>
      <c r="AH87" s="312" t="str">
        <f>IF($B87=0,"",SUMIFS(INPUT_DATA!AG:AG,INPUT_DATA!$A:$A,$B87,INPUT_DATA!$C:$C,"S"))</f>
        <v/>
      </c>
      <c r="AI87" s="312" t="str">
        <f>IF($B87=0,"",SUMIFS(INPUT_DATA!AH:AH,INPUT_DATA!$A:$A,$B87,INPUT_DATA!$C:$C,"S"))</f>
        <v/>
      </c>
      <c r="AJ87" s="312" t="str">
        <f>IF($B87=0,"",SUMIFS(INPUT_DATA!AI:AI,INPUT_DATA!$A:$A,$B87,INPUT_DATA!$C:$C,"S"))</f>
        <v/>
      </c>
      <c r="AK87" s="312" t="str">
        <f>IF($B87=0,"",SUMIFS(INPUT_DATA!AJ:AJ,INPUT_DATA!$A:$A,$B87,INPUT_DATA!$C:$C,"S"))</f>
        <v/>
      </c>
      <c r="AL87" s="312" t="str">
        <f>IF($B87=0,"",SUMIFS(INPUT_DATA!AK:AK,INPUT_DATA!$A:$A,$B87,INPUT_DATA!$C:$C,"S"))</f>
        <v/>
      </c>
      <c r="AM87" s="312" t="str">
        <f>IF($B87=0,"",SUMIFS(INPUT_DATA!AL:AL,INPUT_DATA!$A:$A,$B87,INPUT_DATA!$C:$C,"S"))</f>
        <v/>
      </c>
      <c r="AN87" s="312" t="str">
        <f>IF($B87=0,"",SUMIFS(INPUT_DATA!AM:AM,INPUT_DATA!$A:$A,$B87,INPUT_DATA!$C:$C,"S"))</f>
        <v/>
      </c>
      <c r="AO87" s="312" t="str">
        <f>IF($B87=0,"",SUMIFS(INPUT_DATA!AN:AN,INPUT_DATA!$A:$A,$B87,INPUT_DATA!$C:$C,"S"))</f>
        <v/>
      </c>
      <c r="AP87" s="312" t="str">
        <f>IF($B87=0,"",SUMIFS(INPUT_DATA!AO:AO,INPUT_DATA!$A:$A,$B87,INPUT_DATA!$C:$C,"S"))</f>
        <v/>
      </c>
      <c r="AQ87" s="312" t="str">
        <f>IF($B87=0,"",SUMIFS(INPUT_DATA!AP:AP,INPUT_DATA!$A:$A,$B87,INPUT_DATA!$C:$C,"S"))</f>
        <v/>
      </c>
      <c r="AR87" s="312" t="str">
        <f>IF($B87=0,"",SUMIFS(INPUT_DATA!AQ:AQ,INPUT_DATA!$A:$A,$B87,INPUT_DATA!$C:$C,"S"))</f>
        <v/>
      </c>
      <c r="AS87" s="736" t="str">
        <f t="shared" ref="AS87" si="46">IF($B87=0,"",R87+U87-X87-AA87-AD87-AG87+AJ87-AM87-AP87)</f>
        <v/>
      </c>
      <c r="AT87" s="737" t="str">
        <f t="shared" ref="AT87" si="47">IF($B87=0,"",S87+V87-Y87-AB87-AE87-AH87+AK87-AN87-AQ87)</f>
        <v/>
      </c>
      <c r="AU87" s="738" t="str">
        <f t="shared" ref="AU87" si="48">IF($B87=0,"",T87+W87-Z87-AC87-AF87-AI87+AL87-AO87-AR87)</f>
        <v/>
      </c>
      <c r="AV87" s="736" t="str">
        <f>IF($B87=0,"",SUMIFS(INPUT_DATA!AR:AR,INPUT_DATA!$A:$A,$B87,INPUT_DATA!$C:$C,"S"))</f>
        <v/>
      </c>
      <c r="AW87" s="737" t="str">
        <f>IF($B87=0,"",SUMIFS(INPUT_DATA!AS:AS,INPUT_DATA!$A:$A,$B87,INPUT_DATA!$C:$C,"S"))</f>
        <v/>
      </c>
      <c r="AX87" s="738" t="str">
        <f>IF($B87=0,"",SUMIFS(INPUT_DATA!AT:AT,INPUT_DATA!$A:$A,$B87,INPUT_DATA!$C:$C,"S"))</f>
        <v/>
      </c>
      <c r="AY87" s="736" t="str">
        <f t="shared" si="41"/>
        <v/>
      </c>
      <c r="AZ87" s="737" t="str">
        <f t="shared" si="42"/>
        <v/>
      </c>
      <c r="BA87" s="738" t="str">
        <f t="shared" si="43"/>
        <v/>
      </c>
      <c r="BB87" s="150"/>
      <c r="BC87" s="725" t="str">
        <f>IF($B87=0,"",SUMIFS(INPUT_DATA!D:D,INPUT_DATA!$A:$A,$B87,INPUT_DATA!$C:$C,"D"))</f>
        <v/>
      </c>
      <c r="BD87" s="742" t="str">
        <f>IF($B87=0,"",SUMIFS(INPUT_DATA!F:F,INPUT_DATA!$A:$A,$B87,INPUT_DATA!$C:$C,"D"))</f>
        <v/>
      </c>
      <c r="BE87" s="743" t="str">
        <f>IF($B87=0,"",SUMIFS(INPUT_DATA!G:G,INPUT_DATA!$A:$A,$B87,INPUT_DATA!$C:$C,"D"))</f>
        <v/>
      </c>
      <c r="BF87" s="743" t="str">
        <f>IF($B87=0,"",SUMIFS(INPUT_DATA!H:H,INPUT_DATA!$A:$A,$B87,INPUT_DATA!$C:$C,"D"))</f>
        <v/>
      </c>
      <c r="BG87" s="743" t="str">
        <f>IF($B87=0,"",SUMIFS(INPUT_DATA!I:I,INPUT_DATA!$A:$A,$B87,INPUT_DATA!$C:$C,"D"))</f>
        <v/>
      </c>
      <c r="BH87" s="743" t="str">
        <f>IF($B87=0,"",SUMIFS(INPUT_DATA!J:J,INPUT_DATA!$A:$A,$B87,INPUT_DATA!$C:$C,"D"))</f>
        <v/>
      </c>
      <c r="BI87" s="743" t="str">
        <f>IF($B87=0,"",SUMIFS(INPUT_DATA!K:K,INPUT_DATA!$A:$A,$B87,INPUT_DATA!$C:$C,"D"))</f>
        <v/>
      </c>
      <c r="BJ87" s="743" t="str">
        <f>IF($B87=0,"",SUMIFS(INPUT_DATA!L:L,INPUT_DATA!$A:$A,$B87,INPUT_DATA!$C:$C,"D"))</f>
        <v/>
      </c>
      <c r="BK87" s="743" t="str">
        <f>IF($B87=0,"",SUMIFS(INPUT_DATA!M:M,INPUT_DATA!$A:$A,$B87,INPUT_DATA!$C:$C,"D"))</f>
        <v/>
      </c>
      <c r="BL87" s="743" t="str">
        <f>IF($B87=0,"",SUMIFS(INPUT_DATA!N:N,INPUT_DATA!$A:$A,$B87,INPUT_DATA!$C:$C,"D"))</f>
        <v/>
      </c>
      <c r="BM87" s="743" t="str">
        <f>IF($B87=0,"",SUMIFS(INPUT_DATA!O:O,INPUT_DATA!$A:$A,$B87,INPUT_DATA!$C:$C,"D"))</f>
        <v/>
      </c>
      <c r="BN87" s="744" t="str">
        <f t="shared" si="44"/>
        <v/>
      </c>
      <c r="BO87" s="744" t="str">
        <f>IF($B87=0,"",SUMIFS(INPUT_DATA!O:O,INPUT_DATA!$A:$A,$B87,INPUT_DATA!$C:$C,"D"))</f>
        <v/>
      </c>
      <c r="BP87" s="745" t="str">
        <f t="shared" si="45"/>
        <v/>
      </c>
      <c r="BQ87" s="725" t="str">
        <f>IF($B87=0,"",SUMIFS(INPUT_DATA!Q:Q,INPUT_DATA!$A:$A,$B87,INPUT_DATA!$C:$C,"D"))</f>
        <v/>
      </c>
      <c r="BR87" s="747" t="str">
        <f>IF($B87=0,"",SUMIFS(INPUT_DATA!R:R,INPUT_DATA!$A:$A,$B87,INPUT_DATA!$C:$C,"D"))</f>
        <v/>
      </c>
      <c r="BS87" s="747" t="str">
        <f>IF($B87=0,"",SUMIFS(INPUT_DATA!S:S,INPUT_DATA!$A:$A,$B87,INPUT_DATA!$C:$C,"D"))</f>
        <v/>
      </c>
      <c r="BT87" s="311" t="str">
        <f>IF($B87=0,"",SUMIFS(INPUT_DATA!T:T,INPUT_DATA!$A:$A,$B87,INPUT_DATA!$C:$C,"D"))</f>
        <v/>
      </c>
      <c r="BU87" s="311" t="str">
        <f>IF($B87=0,"",SUMIFS(INPUT_DATA!U:U,INPUT_DATA!$A:$A,$B87,INPUT_DATA!$C:$C,"D"))</f>
        <v/>
      </c>
      <c r="BV87" s="311" t="str">
        <f>IF($B87=0,"",SUMIFS(INPUT_DATA!V:V,INPUT_DATA!$A:$A,$B87,INPUT_DATA!$C:$C,"D"))</f>
        <v/>
      </c>
      <c r="BW87" s="311" t="str">
        <f>IF($B87=0,"",SUMIFS(INPUT_DATA!W:W,INPUT_DATA!$A:$A,$B87,INPUT_DATA!$C:$C,"D"))</f>
        <v/>
      </c>
      <c r="BX87" s="311" t="str">
        <f>IF($B87=0,"",SUMIFS(INPUT_DATA!X:X,INPUT_DATA!$A:$A,$B87,INPUT_DATA!$C:$C,"D"))</f>
        <v/>
      </c>
      <c r="BY87" s="311" t="str">
        <f>IF($B87=0,"",SUMIFS(INPUT_DATA!Y:Y,INPUT_DATA!$A:$A,$B87,INPUT_DATA!$C:$C,"D"))</f>
        <v/>
      </c>
      <c r="BZ87" s="352" t="str">
        <f>IF($B87=0,"",SUMIFS(INPUT_DATA!Z:Z,INPUT_DATA!$A:$A,$B87,INPUT_DATA!$C:$C,"D"))</f>
        <v/>
      </c>
      <c r="CA87" s="352" t="str">
        <f>IF($B87=0,"",SUMIFS(INPUT_DATA!AA:AA,INPUT_DATA!$A:$A,$B87,INPUT_DATA!$C:$C,"D"))</f>
        <v/>
      </c>
      <c r="CB87" s="352" t="str">
        <f>IF($B87=0,"",SUMIFS(INPUT_DATA!AB:AB,INPUT_DATA!$A:$A,$B87,INPUT_DATA!$C:$C,"D"))</f>
        <v/>
      </c>
      <c r="CC87" s="311" t="str">
        <f>IF($B87=0,"",SUMIFS(INPUT_DATA!AC:AC,INPUT_DATA!$A:$A,$B87,INPUT_DATA!$C:$C,"D"))</f>
        <v/>
      </c>
      <c r="CD87" s="311" t="str">
        <f>IF($B87=0,"",SUMIFS(INPUT_DATA!AD:AD,INPUT_DATA!$A:$A,$B87,INPUT_DATA!$C:$C,"D"))</f>
        <v/>
      </c>
      <c r="CE87" s="311" t="str">
        <f>IF($B87=0,"",SUMIFS(INPUT_DATA!AE:AE,INPUT_DATA!$A:$A,$B87,INPUT_DATA!$C:$C,"D"))</f>
        <v/>
      </c>
      <c r="CF87" s="352" t="str">
        <f>IF($B87=0,"",SUMIFS(INPUT_DATA!AF:AF,INPUT_DATA!$A:$A,$B87,INPUT_DATA!$C:$C,"D"))</f>
        <v/>
      </c>
      <c r="CG87" s="352" t="str">
        <f>IF($B87=0,"",SUMIFS(INPUT_DATA!AG:AG,INPUT_DATA!$A:$A,$B87,INPUT_DATA!$C:$C,"D"))</f>
        <v/>
      </c>
      <c r="CH87" s="352" t="str">
        <f>IF($B87=0,"",SUMIFS(INPUT_DATA!AH:AH,INPUT_DATA!$A:$A,$B87,INPUT_DATA!$C:$C,"D"))</f>
        <v/>
      </c>
      <c r="CI87" s="153" t="str">
        <f>IF($B87=0,"",SUMIFS(INPUT_DATA!AI:AI,INPUT_DATA!$A:$A,$B87,INPUT_DATA!$C:$C,"D"))</f>
        <v/>
      </c>
      <c r="CJ87" s="153" t="str">
        <f>IF($B87=0,"",SUMIFS(INPUT_DATA!AJ:AJ,INPUT_DATA!$A:$A,$B87,INPUT_DATA!$C:$C,"D"))</f>
        <v/>
      </c>
      <c r="CK87" s="153" t="str">
        <f>IF($B87=0,"",SUMIFS(INPUT_DATA!AK:AK,INPUT_DATA!$A:$A,$B87,INPUT_DATA!$C:$C,"D"))</f>
        <v/>
      </c>
      <c r="CL87" s="153" t="str">
        <f>IF($B87=0,"",SUMIFS(INPUT_DATA!AL:AL,INPUT_DATA!$A:$A,$B87,INPUT_DATA!$C:$C,"D"))</f>
        <v/>
      </c>
      <c r="CM87" s="153" t="str">
        <f>IF($B87=0,"",SUMIFS(INPUT_DATA!AM:AM,INPUT_DATA!$A:$A,$B87,INPUT_DATA!$C:$C,"D"))</f>
        <v/>
      </c>
      <c r="CN87" s="153" t="str">
        <f>IF($B87=0,"",SUMIFS(INPUT_DATA!AN:AN,INPUT_DATA!$A:$A,$B87,INPUT_DATA!$C:$C,"D"))</f>
        <v/>
      </c>
      <c r="CO87" s="153" t="str">
        <f>IF($B87=0,"",SUMIFS(INPUT_DATA!AO:AO,INPUT_DATA!$A:$A,$B87,INPUT_DATA!$C:$C,"D"))</f>
        <v/>
      </c>
      <c r="CP87" s="153" t="str">
        <f>IF($B87=0,"",SUMIFS(INPUT_DATA!AP:AP,INPUT_DATA!$A:$A,$B87,INPUT_DATA!$C:$C,"D"))</f>
        <v/>
      </c>
      <c r="CQ87" s="153" t="str">
        <f>IF($B87=0,"",SUMIFS(INPUT_DATA!AQ:AQ,INPUT_DATA!$A:$A,$B87,INPUT_DATA!$C:$C,"D"))</f>
        <v/>
      </c>
      <c r="CR87" s="737" t="str">
        <f t="shared" ref="CR87" si="49">IF($B87=0,"",BQ87+BT87-BW87-BZ87-CC87+CF87-CI87-CL87-CO87)</f>
        <v/>
      </c>
      <c r="CS87" s="737" t="str">
        <f t="shared" ref="CS87" si="50">IF($B87=0,"",BR87+BU87-BX87-CA87-CD87+CG87-CJ87-CM87-CP87)</f>
        <v/>
      </c>
      <c r="CT87" s="737" t="str">
        <f t="shared" ref="CT87" si="51">IF($B87=0,"",BS87+BV87-BY87-CB87-CE87+CH87-CK87-CN87-CQ87)</f>
        <v/>
      </c>
      <c r="CU87" s="726" t="str">
        <f>IF($B87=0,"",SUMIFS(INPUT_DATA!AR:AR,INPUT_DATA!$A:$A,$B87,INPUT_DATA!$C:$C,"D"))</f>
        <v/>
      </c>
      <c r="CV87" s="726" t="str">
        <f>IF($B87=0,"",SUMIFS(INPUT_DATA!AS:AS,INPUT_DATA!$A:$A,$B87,INPUT_DATA!$C:$C,"D"))</f>
        <v/>
      </c>
      <c r="CW87" s="726" t="str">
        <f>IF($B87=0,"",SUMIFS(INPUT_DATA!AT:AT,INPUT_DATA!$A:$A,$B87,INPUT_DATA!$C:$C,"D"))</f>
        <v/>
      </c>
      <c r="CX87" s="726" t="str">
        <f t="shared" ref="CX87" si="52">IF($B87=0,"",CR87-CU87)</f>
        <v/>
      </c>
      <c r="CY87" s="737" t="str">
        <f t="shared" ref="CY87" si="53">IF($B87=0,"",CS87-CV87)</f>
        <v/>
      </c>
      <c r="CZ87" s="748" t="str">
        <f t="shared" ref="CZ87" si="54">IF($B87=0,"",CT87-CW87)</f>
        <v/>
      </c>
      <c r="DA87" s="150"/>
    </row>
    <row r="88" spans="1:105" x14ac:dyDescent="0.2">
      <c r="O88" s="3"/>
      <c r="P88" s="3"/>
      <c r="Q88" s="3"/>
    </row>
  </sheetData>
  <mergeCells count="26">
    <mergeCell ref="BL14:BL15"/>
    <mergeCell ref="G14:I14"/>
    <mergeCell ref="M14:M15"/>
    <mergeCell ref="L14:L15"/>
    <mergeCell ref="BK14:BK15"/>
    <mergeCell ref="BC14:BC15"/>
    <mergeCell ref="K14:K15"/>
    <mergeCell ref="P14:P15"/>
    <mergeCell ref="BF14:BH14"/>
    <mergeCell ref="BJ14:BJ15"/>
    <mergeCell ref="BM14:BM15"/>
    <mergeCell ref="BI14:BI15"/>
    <mergeCell ref="Q14:Q15"/>
    <mergeCell ref="BP14:BP15"/>
    <mergeCell ref="B14:B15"/>
    <mergeCell ref="C14:C15"/>
    <mergeCell ref="E14:E15"/>
    <mergeCell ref="F14:F15"/>
    <mergeCell ref="D14:D15"/>
    <mergeCell ref="J14:J15"/>
    <mergeCell ref="N14:N15"/>
    <mergeCell ref="O14:O15"/>
    <mergeCell ref="BO14:BO15"/>
    <mergeCell ref="BN14:BN15"/>
    <mergeCell ref="BD14:BD15"/>
    <mergeCell ref="BE14:BE15"/>
  </mergeCells>
  <conditionalFormatting sqref="B18:B87">
    <cfRule type="cellIs" dxfId="50" priority="1" operator="lessThanOrEqual">
      <formula>0</formula>
    </cfRule>
  </conditionalFormatting>
  <pageMargins left="0.7" right="0.7" top="0.75" bottom="0.75" header="0.3" footer="0.3"/>
  <pageSetup paperSize="9" orientation="portrait" r:id="rId1"/>
  <ignoredErrors>
    <ignoredError sqref="D23 E23:N23 O23:Q23 BN17:BN87"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0" tint="-0.249977111117893"/>
  </sheetPr>
  <dimension ref="B3:AX121"/>
  <sheetViews>
    <sheetView showGridLines="0" topLeftCell="B1" zoomScale="80" zoomScaleNormal="80" workbookViewId="0">
      <selection activeCell="H13" sqref="H13:H15"/>
    </sheetView>
  </sheetViews>
  <sheetFormatPr defaultColWidth="9.140625" defaultRowHeight="12.75" x14ac:dyDescent="0.2"/>
  <cols>
    <col min="1" max="1" width="3" customWidth="1"/>
    <col min="2" max="2" width="18" bestFit="1" customWidth="1"/>
    <col min="3" max="3" width="16" customWidth="1"/>
    <col min="4" max="4" width="1.42578125" customWidth="1"/>
    <col min="5" max="22" width="20.140625" customWidth="1"/>
    <col min="23" max="23" width="2.42578125" customWidth="1"/>
    <col min="24" max="42" width="20.140625" customWidth="1"/>
    <col min="43" max="43" width="2.42578125" customWidth="1"/>
    <col min="45" max="45" width="20.140625" customWidth="1"/>
    <col min="47" max="47" width="12.42578125" bestFit="1" customWidth="1"/>
    <col min="48" max="48" width="14.85546875" bestFit="1" customWidth="1"/>
    <col min="50" max="50" width="20.140625" customWidth="1"/>
  </cols>
  <sheetData>
    <row r="3" spans="2:50" x14ac:dyDescent="0.2">
      <c r="AC3" s="5"/>
      <c r="AD3" s="5"/>
      <c r="AE3" s="5"/>
      <c r="AF3" s="5"/>
    </row>
    <row r="7" spans="2:50" ht="15.75" x14ac:dyDescent="0.2">
      <c r="B7" s="615" t="s">
        <v>731</v>
      </c>
      <c r="C7" s="604"/>
      <c r="D7" s="604"/>
      <c r="E7" s="604"/>
      <c r="F7" s="585"/>
      <c r="G7" s="585"/>
      <c r="H7" s="585"/>
      <c r="I7" s="585"/>
      <c r="J7" s="585"/>
      <c r="K7" s="585"/>
      <c r="L7" s="585"/>
      <c r="M7" s="585"/>
      <c r="N7" s="585"/>
      <c r="O7" s="585"/>
      <c r="P7" s="604"/>
      <c r="Q7" s="585"/>
      <c r="R7" s="585"/>
      <c r="S7" s="585"/>
      <c r="T7" s="604"/>
      <c r="U7" s="604"/>
      <c r="V7" s="604"/>
      <c r="W7" s="604"/>
      <c r="X7" s="585"/>
      <c r="Y7" s="585"/>
      <c r="Z7" s="585"/>
      <c r="AA7" s="585"/>
      <c r="AB7" s="585"/>
      <c r="AC7" s="585"/>
      <c r="AD7" s="585"/>
      <c r="AE7" s="585"/>
      <c r="AF7" s="585"/>
      <c r="AG7" s="585"/>
      <c r="AH7" s="585"/>
      <c r="AI7" s="585"/>
      <c r="AJ7" s="585"/>
      <c r="AK7" s="585"/>
      <c r="AL7" s="585"/>
      <c r="AM7" s="585"/>
      <c r="AN7" s="585"/>
      <c r="AO7" s="585"/>
      <c r="AP7" s="585"/>
      <c r="AQ7" s="585"/>
    </row>
    <row r="8" spans="2:50" x14ac:dyDescent="0.2">
      <c r="V8" s="4"/>
      <c r="AC8" s="5"/>
      <c r="AD8" s="5"/>
      <c r="AE8" s="5"/>
      <c r="AF8" s="5"/>
      <c r="AP8" s="4"/>
      <c r="AS8" s="4"/>
    </row>
    <row r="9" spans="2:50" x14ac:dyDescent="0.2">
      <c r="G9" s="5"/>
      <c r="P9" s="5"/>
      <c r="Q9" s="5"/>
      <c r="S9" s="5"/>
      <c r="T9" s="5"/>
      <c r="U9" s="5"/>
      <c r="V9" s="5"/>
      <c r="X9" s="5"/>
      <c r="Y9" s="5"/>
      <c r="Z9" s="5"/>
      <c r="AA9" s="5"/>
      <c r="AB9" s="916"/>
      <c r="AC9" s="5"/>
    </row>
    <row r="10" spans="2:50" ht="13.5" thickBot="1" x14ac:dyDescent="0.25">
      <c r="R10" s="5"/>
      <c r="S10" s="5"/>
      <c r="T10" s="5"/>
      <c r="V10" s="4"/>
      <c r="AP10" s="4"/>
      <c r="AS10" s="4"/>
    </row>
    <row r="11" spans="2:50" ht="13.5" customHeight="1" thickBot="1" x14ac:dyDescent="0.25">
      <c r="B11" s="682" t="s">
        <v>694</v>
      </c>
      <c r="C11" s="682"/>
      <c r="E11" s="616" t="s">
        <v>210</v>
      </c>
      <c r="F11" s="617"/>
      <c r="G11" s="617"/>
      <c r="H11" s="617"/>
      <c r="I11" s="617"/>
      <c r="J11" s="617"/>
      <c r="K11" s="617"/>
      <c r="L11" s="617"/>
      <c r="M11" s="617"/>
      <c r="N11" s="617"/>
      <c r="O11" s="617"/>
      <c r="P11" s="617"/>
      <c r="Q11" s="617"/>
      <c r="R11" s="617"/>
      <c r="S11" s="617"/>
      <c r="T11" s="617"/>
      <c r="U11" s="617"/>
      <c r="V11" s="618"/>
      <c r="X11" s="326" t="s">
        <v>211</v>
      </c>
      <c r="Y11" s="327"/>
      <c r="Z11" s="327"/>
      <c r="AA11" s="327"/>
      <c r="AB11" s="327"/>
      <c r="AC11" s="327"/>
      <c r="AD11" s="327"/>
      <c r="AE11" s="327"/>
      <c r="AF11" s="327"/>
      <c r="AG11" s="327"/>
      <c r="AH11" s="327"/>
      <c r="AI11" s="327"/>
      <c r="AJ11" s="327"/>
      <c r="AK11" s="327"/>
      <c r="AL11" s="327"/>
      <c r="AM11" s="327"/>
      <c r="AN11" s="327"/>
      <c r="AO11" s="327"/>
      <c r="AP11" s="328"/>
      <c r="AS11" s="353"/>
      <c r="AX11" s="392"/>
    </row>
    <row r="12" spans="2:50" ht="49.5" customHeight="1" thickBot="1" x14ac:dyDescent="0.25">
      <c r="B12" s="146" t="s">
        <v>96</v>
      </c>
      <c r="C12" s="147" t="s">
        <v>97</v>
      </c>
      <c r="E12" s="347" t="s">
        <v>139</v>
      </c>
      <c r="F12" s="348" t="s">
        <v>140</v>
      </c>
      <c r="G12" s="348" t="s">
        <v>141</v>
      </c>
      <c r="H12" s="348" t="s">
        <v>142</v>
      </c>
      <c r="I12" s="348" t="s">
        <v>143</v>
      </c>
      <c r="J12" s="348" t="s">
        <v>144</v>
      </c>
      <c r="K12" s="348" t="s">
        <v>904</v>
      </c>
      <c r="L12" s="348" t="s">
        <v>905</v>
      </c>
      <c r="M12" s="348" t="s">
        <v>906</v>
      </c>
      <c r="N12" s="348" t="s">
        <v>145</v>
      </c>
      <c r="O12" s="348" t="s">
        <v>147</v>
      </c>
      <c r="P12" s="348" t="s">
        <v>146</v>
      </c>
      <c r="Q12" s="346" t="s">
        <v>148</v>
      </c>
      <c r="R12" s="346" t="s">
        <v>854</v>
      </c>
      <c r="S12" s="346" t="s">
        <v>239</v>
      </c>
      <c r="T12" s="346" t="s">
        <v>149</v>
      </c>
      <c r="U12" s="346" t="s">
        <v>150</v>
      </c>
      <c r="V12" s="313" t="s">
        <v>208</v>
      </c>
      <c r="X12" s="329" t="s">
        <v>139</v>
      </c>
      <c r="Y12" s="330" t="s">
        <v>140</v>
      </c>
      <c r="Z12" s="330" t="s">
        <v>141</v>
      </c>
      <c r="AA12" s="330" t="s">
        <v>142</v>
      </c>
      <c r="AB12" s="330" t="s">
        <v>143</v>
      </c>
      <c r="AC12" s="330" t="s">
        <v>144</v>
      </c>
      <c r="AD12" s="330" t="s">
        <v>904</v>
      </c>
      <c r="AE12" s="330" t="s">
        <v>905</v>
      </c>
      <c r="AF12" s="330" t="s">
        <v>906</v>
      </c>
      <c r="AG12" s="330" t="s">
        <v>145</v>
      </c>
      <c r="AH12" s="330" t="s">
        <v>147</v>
      </c>
      <c r="AI12" s="330" t="s">
        <v>146</v>
      </c>
      <c r="AJ12" s="331" t="s">
        <v>148</v>
      </c>
      <c r="AK12" s="331" t="s">
        <v>854</v>
      </c>
      <c r="AL12" s="331" t="s">
        <v>239</v>
      </c>
      <c r="AM12" s="331" t="s">
        <v>855</v>
      </c>
      <c r="AN12" s="331" t="s">
        <v>149</v>
      </c>
      <c r="AO12" s="331" t="s">
        <v>150</v>
      </c>
      <c r="AP12" s="313" t="s">
        <v>208</v>
      </c>
      <c r="AS12" s="313" t="s">
        <v>2</v>
      </c>
      <c r="AU12" s="377" t="s">
        <v>237</v>
      </c>
      <c r="AV12" s="377" t="s">
        <v>238</v>
      </c>
      <c r="AX12" s="391" t="s">
        <v>239</v>
      </c>
    </row>
    <row r="13" spans="2:50" s="2" customFormat="1" x14ac:dyDescent="0.2">
      <c r="B13" s="752">
        <f>C14+1</f>
        <v>45536</v>
      </c>
      <c r="C13" s="755">
        <f>'03 - Monthly Asset Follow up'!B17</f>
        <v>45565</v>
      </c>
      <c r="E13" s="758">
        <f>IF($C13=0,"",SUMIFS(INPUT_DATA!AU:AU,INPUT_DATA!$A:$A,$C13,INPUT_DATA!$C:$C,"S"))</f>
        <v>4762733.2199999914</v>
      </c>
      <c r="F13" s="760">
        <f>IF($C13=0,"",SUMIFS(INPUT_DATA!AV:AV,INPUT_DATA!$A:$A,$C13,INPUT_DATA!$C:$C,"S"))</f>
        <v>52388.180000000015</v>
      </c>
      <c r="G13" s="759">
        <f>IF($C13=0,"",SUMIFS(INPUT_DATA!AW:AW,INPUT_DATA!$A:$A,$C13,INPUT_DATA!$C:$C,"S"))</f>
        <v>806173.41</v>
      </c>
      <c r="H13" s="370">
        <f>IF($C13=0,"",E13+F13+G13)</f>
        <v>5621294.8099999912</v>
      </c>
      <c r="I13" s="759">
        <f>IF($C13=0,"",SUMIFS(INPUT_DATA!AY:AY,INPUT_DATA!$A:$A,$C13,INPUT_DATA!$C:$C,"S"))</f>
        <v>817489.45999999822</v>
      </c>
      <c r="J13" s="759">
        <f>IF($C13=0,"",SUMIFS(INPUT_DATA!AZ:AZ,INPUT_DATA!$A:$A,$C13,INPUT_DATA!$C:$C,"S"))</f>
        <v>2606.0200000000004</v>
      </c>
      <c r="K13" s="759">
        <f>IF($C13=0,"",SUMIFS(INPUT_DATA!BA:BA,INPUT_DATA!$A:$A,$C13,INPUT_DATA!$C:$C,"S"))</f>
        <v>119.48</v>
      </c>
      <c r="L13" s="759">
        <f>IF($C13=0,"",SUMIFS(INPUT_DATA!BB:BB,INPUT_DATA!$A:$A,$C13,INPUT_DATA!$C:$C,"S"))</f>
        <v>124.23000000000002</v>
      </c>
      <c r="M13" s="759">
        <f>IF($C13=0,"",SUMIFS(INPUT_DATA!BC:BC,INPUT_DATA!$A:$A,$C13,INPUT_DATA!$C:$C,"S"))</f>
        <v>0</v>
      </c>
      <c r="N13" s="759">
        <f>IF($C13=0,"",SUMIFS(INPUT_DATA!BD:BD,INPUT_DATA!$A:$A,$C13,INPUT_DATA!$C:$C,"S"))</f>
        <v>2669.09</v>
      </c>
      <c r="O13" s="759">
        <f>IF($C13=0,"",SUMIFS(INPUT_DATA!BE:BE,INPUT_DATA!$A:$A,$C13,INPUT_DATA!$C:$C,"S"))</f>
        <v>33.29</v>
      </c>
      <c r="P13" s="759">
        <f>IF($C13=0,"",SUMIFS(INPUT_DATA!BF:BF,INPUT_DATA!$A:$A,$C13,INPUT_DATA!$C:$C,"S"))</f>
        <v>0</v>
      </c>
      <c r="Q13" s="372">
        <f>IF($C13=0,"",I13+J13+K13+L13+M13+N13+O13+P13)</f>
        <v>823041.5699999982</v>
      </c>
      <c r="R13" s="768">
        <f>IF($C13=0,"",SUMIFS(INPUT_DATA!BH:BH,INPUT_DATA!$A:$A,$C13,INPUT_DATA!$C:$C,"S"))</f>
        <v>0</v>
      </c>
      <c r="S13" s="768">
        <f>IF($C13=0,"",SUMIFS(INPUT_DATA!BI:BI,INPUT_DATA!$A:$A,$C13,INPUT_DATA!$C:$C,"S"))</f>
        <v>0</v>
      </c>
      <c r="T13" s="372">
        <f>IF($C13=0,"",H13+Q13+R13-S13)</f>
        <v>6444336.3799999896</v>
      </c>
      <c r="U13" s="373">
        <f>IF($C13=0,"",SUMIFS(INPUT_DATA!BL:BL,INPUT_DATA!$A:$A,$C13,INPUT_DATA!$C:$C,"S"))</f>
        <v>6444336.3800000008</v>
      </c>
      <c r="V13" s="368">
        <f>IF($C13=0,"",T13-U13)</f>
        <v>-1.1175870895385742E-8</v>
      </c>
      <c r="X13" s="750">
        <f>IF($C13=0,"",SUMIFS(INPUT_DATA!AU:AU,INPUT_DATA!$A:$A,$C13,INPUT_DATA!$C:$C,"D"))</f>
        <v>0</v>
      </c>
      <c r="Y13" s="759">
        <f>IF($C13=0,"",SUMIFS(INPUT_DATA!AV:AV,INPUT_DATA!$A:$A,$C13,INPUT_DATA!$C:$C,"D"))</f>
        <v>3272.83</v>
      </c>
      <c r="Z13" s="759">
        <f>IF($C13=0,"",SUMIFS(INPUT_DATA!AW:AW,INPUT_DATA!$A:$A,$C13,INPUT_DATA!$C:$C,"D"))</f>
        <v>0</v>
      </c>
      <c r="AA13" s="370">
        <f>IF($C13=0,"",X13+Y13+Z13)</f>
        <v>3272.83</v>
      </c>
      <c r="AB13" s="759">
        <f>IF($C13=0,"",SUMIFS(INPUT_DATA!AY:AY,INPUT_DATA!$A:$A,$C13,INPUT_DATA!$C:$C,"D"))</f>
        <v>0</v>
      </c>
      <c r="AC13" s="759">
        <f>IF($C13=0,"",SUMIFS(INPUT_DATA!AZ:AZ,INPUT_DATA!$A:$A,$C13,INPUT_DATA!$C:$C,"D"))</f>
        <v>0</v>
      </c>
      <c r="AD13" s="759">
        <f>IF($C13=0,"",SUMIFS(INPUT_DATA!BA:BA,INPUT_DATA!$A:$A,$C13,INPUT_DATA!$C:$C,"D"))</f>
        <v>14.7</v>
      </c>
      <c r="AE13" s="759">
        <f>IF($C13=0,"",SUMIFS(INPUT_DATA!BB:BB,INPUT_DATA!$A:$A,$C13,INPUT_DATA!$C:$C,"D"))</f>
        <v>39.54</v>
      </c>
      <c r="AF13" s="759">
        <f>IF($C13=0,"",SUMIFS(INPUT_DATA!BC:BC,INPUT_DATA!$A:$A,$C13,INPUT_DATA!$C:$C,"D"))</f>
        <v>0</v>
      </c>
      <c r="AG13" s="759">
        <f>IF($C13=0,"",SUMIFS(INPUT_DATA!BD:BD,INPUT_DATA!$A:$A,$C13,INPUT_DATA!$C:$C,"D"))</f>
        <v>0</v>
      </c>
      <c r="AH13" s="759">
        <f>IF($C13=0,"",SUMIFS(INPUT_DATA!BE:BE,INPUT_DATA!$A:$A,$C13,INPUT_DATA!$C:$C,"D"))</f>
        <v>0</v>
      </c>
      <c r="AI13" s="759">
        <f>IF($C13=0,"",SUMIFS(INPUT_DATA!BF:BF,INPUT_DATA!$A:$A,$C13,INPUT_DATA!$C:$C,"D"))</f>
        <v>0</v>
      </c>
      <c r="AJ13" s="372">
        <f>IF($C13=0,"",AB13+AC13+AD13+AE13+AF13+AG13+AH13+AI13)</f>
        <v>54.239999999999995</v>
      </c>
      <c r="AK13" s="768">
        <f>IF($C13=0,"",SUMIFS(INPUT_DATA!BH:BH,INPUT_DATA!$A:$A,$C13,INPUT_DATA!$C:$C,"D"))</f>
        <v>0</v>
      </c>
      <c r="AL13" s="768">
        <f>IF($C13=0,"",SUMIFS(INPUT_DATA!BI:BI,INPUT_DATA!$A:$A,$C13,INPUT_DATA!$C:$C,"D"))</f>
        <v>0</v>
      </c>
      <c r="AM13" s="768">
        <f>IF($C13=0,"",SUMIFS(INPUT_DATA!BJ:BJ,INPUT_DATA!$A:$A,$C13,INPUT_DATA!$C:$C,"D"))</f>
        <v>0</v>
      </c>
      <c r="AN13" s="372">
        <f>IF($C13=0,"",AA13+AJ13+AK13-AL13-AM13)</f>
        <v>3327.0699999999997</v>
      </c>
      <c r="AO13" s="373">
        <f>IF($C13=0,"",SUMIFS(INPUT_DATA!BK:BK,INPUT_DATA!$A:$A,$C13,INPUT_DATA!$C:$C,"D"))</f>
        <v>3327.0699999999997</v>
      </c>
      <c r="AP13" s="368">
        <f>IF($C13=0,"",AN13-AO13)</f>
        <v>0</v>
      </c>
      <c r="AS13" s="368">
        <f>IF($C13=0,"",T13+AO13)</f>
        <v>6447663.4499999899</v>
      </c>
      <c r="AT13" s="369"/>
      <c r="AU13" s="378">
        <f>IF($C13=0,"",'03 - Monthly Asset Follow up'!E17+'03 - Monthly Asset Follow up'!F17-'03 - Monthly Asset Follow up'!U17+'03 - Monthly Asset Follow up'!X17-H13)</f>
        <v>-1.862645149230957E-9</v>
      </c>
      <c r="AV13" s="378">
        <f>IF($C13=0,"",'03 - Monthly Asset Follow up'!BD17+'03 - Monthly Asset Follow up'!BE17-'03 - Monthly Asset Follow up'!BT17+'03 - Monthly Asset Follow up'!BW17-AA13)</f>
        <v>0</v>
      </c>
      <c r="AX13" s="371"/>
    </row>
    <row r="14" spans="2:50" s="2" customFormat="1" x14ac:dyDescent="0.2">
      <c r="B14" s="753">
        <f>IF(C15=0,"",C15+1)</f>
        <v>45505</v>
      </c>
      <c r="C14" s="756">
        <f>'03 - Monthly Asset Follow up'!B18</f>
        <v>45535</v>
      </c>
      <c r="E14" s="749">
        <f>IF($C14=0,"",SUMIFS(INPUT_DATA!AU:AU,INPUT_DATA!$A:$A,$C14,INPUT_DATA!$C:$C,"S"))</f>
        <v>4785608.7199999951</v>
      </c>
      <c r="F14" s="761">
        <f>IF($C14=0,"",SUMIFS(INPUT_DATA!AV:AV,INPUT_DATA!$A:$A,$C14,INPUT_DATA!$C:$C,"S"))</f>
        <v>60516.070000000022</v>
      </c>
      <c r="G14" s="761">
        <f>IF($C14=0,"",SUMIFS(INPUT_DATA!AW:AW,INPUT_DATA!$A:$A,$C14,INPUT_DATA!$C:$C,"S"))</f>
        <v>2003699.8000000003</v>
      </c>
      <c r="H14" s="762">
        <f t="shared" ref="H14:H77" si="0">IF($C14=0,"",E14+F14+G14)</f>
        <v>6849824.5899999961</v>
      </c>
      <c r="I14" s="761">
        <f>IF($C14=0,"",SUMIFS(INPUT_DATA!AY:AY,INPUT_DATA!$A:$A,$C14,INPUT_DATA!$C:$C,"S"))</f>
        <v>827128.17999999854</v>
      </c>
      <c r="J14" s="761">
        <f>IF($C14=0,"",SUMIFS(INPUT_DATA!AZ:AZ,INPUT_DATA!$A:$A,$C14,INPUT_DATA!$C:$C,"S"))</f>
        <v>10050.6</v>
      </c>
      <c r="K14" s="761">
        <f>IF($C14=0,"",SUMIFS(INPUT_DATA!BA:BA,INPUT_DATA!$A:$A,$C14,INPUT_DATA!$C:$C,"S"))</f>
        <v>97.660000000000025</v>
      </c>
      <c r="L14" s="761">
        <f>IF($C14=0,"",SUMIFS(INPUT_DATA!BB:BB,INPUT_DATA!$A:$A,$C14,INPUT_DATA!$C:$C,"S"))</f>
        <v>103.45000000000003</v>
      </c>
      <c r="M14" s="761">
        <f>IF($C14=0,"",SUMIFS(INPUT_DATA!BC:BC,INPUT_DATA!$A:$A,$C14,INPUT_DATA!$C:$C,"S"))</f>
        <v>0</v>
      </c>
      <c r="N14" s="761">
        <f>IF($C14=0,"",SUMIFS(INPUT_DATA!BD:BD,INPUT_DATA!$A:$A,$C14,INPUT_DATA!$C:$C,"S"))</f>
        <v>8134.32</v>
      </c>
      <c r="O14" s="761">
        <f>IF($C14=0,"",SUMIFS(INPUT_DATA!BE:BE,INPUT_DATA!$A:$A,$C14,INPUT_DATA!$C:$C,"S"))</f>
        <v>169.44</v>
      </c>
      <c r="P14" s="761">
        <f>IF($C14=0,"",SUMIFS(INPUT_DATA!BF:BF,INPUT_DATA!$A:$A,$C14,INPUT_DATA!$C:$C,"S"))</f>
        <v>0</v>
      </c>
      <c r="Q14" s="767">
        <f>IF($C14=0,"",I14+J14+K14+L14+M14+N14+O14+P14)</f>
        <v>845683.64999999839</v>
      </c>
      <c r="R14" s="769">
        <f>IF($C14=0,"",SUMIFS(INPUT_DATA!BH:BH,INPUT_DATA!$A:$A,$C14,INPUT_DATA!$C:$C,"S"))</f>
        <v>0</v>
      </c>
      <c r="S14" s="769">
        <f>IF($C14=0,"",SUMIFS(INPUT_DATA!BI:BI,INPUT_DATA!$A:$A,$C14,INPUT_DATA!$C:$C,"S"))</f>
        <v>0</v>
      </c>
      <c r="T14" s="767">
        <f>IF($C14=0,"",H14+Q14+R14-S14)</f>
        <v>7695508.2399999946</v>
      </c>
      <c r="U14" s="772">
        <f>IF($C14=0,"",SUMIFS(INPUT_DATA!BL:BL,INPUT_DATA!$A:$A,$C14,INPUT_DATA!$C:$C,"S"))</f>
        <v>7695508.2400000012</v>
      </c>
      <c r="V14" s="368">
        <f t="shared" ref="V14:V77" si="1">IF($C14=0,"",T14-U14)</f>
        <v>-6.5192580223083496E-9</v>
      </c>
      <c r="X14" s="749">
        <f>IF($C14=0,"",SUMIFS(INPUT_DATA!AU:AU,INPUT_DATA!$A:$A,$C14,INPUT_DATA!$C:$C,"D"))</f>
        <v>0</v>
      </c>
      <c r="Y14" s="761">
        <f>IF($C14=0,"",SUMIFS(INPUT_DATA!AV:AV,INPUT_DATA!$A:$A,$C14,INPUT_DATA!$C:$C,"D"))</f>
        <v>0</v>
      </c>
      <c r="Z14" s="761">
        <f>IF($C14=0,"",SUMIFS(INPUT_DATA!AW:AW,INPUT_DATA!$A:$A,$C14,INPUT_DATA!$C:$C,"D"))</f>
        <v>0</v>
      </c>
      <c r="AA14" s="762">
        <f t="shared" ref="AA14:AA77" si="2">IF($C14=0,"",X14+Y14+Z14)</f>
        <v>0</v>
      </c>
      <c r="AB14" s="761">
        <f>IF($C14=0,"",SUMIFS(INPUT_DATA!AX:AX,INPUT_DATA!$A:$A,$C14,INPUT_DATA!$C:$C,"D"))</f>
        <v>0</v>
      </c>
      <c r="AC14" s="761">
        <f>IF($C14=0,"",SUMIFS(INPUT_DATA!AY:AY,INPUT_DATA!$A:$A,$C14,INPUT_DATA!$C:$C,"D"))</f>
        <v>0</v>
      </c>
      <c r="AD14" s="761">
        <f>IF($C14=0,"",SUMIFS(INPUT_DATA!AZ:AZ,INPUT_DATA!$A:$A,$C14,INPUT_DATA!$C:$C,"D"))</f>
        <v>0</v>
      </c>
      <c r="AE14" s="761">
        <f>IF($C14=0,"",SUMIFS(INPUT_DATA!BA:BA,INPUT_DATA!$A:$A,$C14,INPUT_DATA!$C:$C,"D"))</f>
        <v>0</v>
      </c>
      <c r="AF14" s="761">
        <f>IF($C14=0,"",SUMIFS(INPUT_DATA!BB:BB,INPUT_DATA!$A:$A,$C14,INPUT_DATA!$C:$C,"D"))</f>
        <v>0</v>
      </c>
      <c r="AG14" s="761">
        <f>IF($C14=0,"",SUMIFS(INPUT_DATA!BC:BC,INPUT_DATA!$A:$A,$C14,INPUT_DATA!$C:$C,"D"))</f>
        <v>0</v>
      </c>
      <c r="AH14" s="761">
        <f>IF($C14=0,"",SUMIFS(INPUT_DATA!BD:BD,INPUT_DATA!$A:$A,$C14,INPUT_DATA!$C:$C,"D"))</f>
        <v>0</v>
      </c>
      <c r="AI14" s="761">
        <f>IF($C14=0,"",SUMIFS(INPUT_DATA!BE:BE,INPUT_DATA!$A:$A,$C14,INPUT_DATA!$C:$C,"D"))</f>
        <v>0</v>
      </c>
      <c r="AJ14" s="767">
        <f t="shared" ref="AJ14:AJ77" si="3">IF($C14=0,"",AB14+AC14+AD14+AE14+AF14+AG14+AH14+AI14)</f>
        <v>0</v>
      </c>
      <c r="AK14" s="769">
        <f>IF($C14=0,"",SUMIFS(INPUT_DATA!BG:BG,INPUT_DATA!$A:$A,$C14,INPUT_DATA!$C:$C,"D"))</f>
        <v>0</v>
      </c>
      <c r="AL14" s="769">
        <f>IF($C14=0,"",SUMIFS(INPUT_DATA!BH:BH,INPUT_DATA!$A:$A,$C14,INPUT_DATA!$C:$C,"D"))</f>
        <v>0</v>
      </c>
      <c r="AM14" s="769">
        <f>IF($C14=0,"",SUMIFS(INPUT_DATA!BI:BI,INPUT_DATA!$A:$A,$C14,INPUT_DATA!$C:$C,"D"))</f>
        <v>0</v>
      </c>
      <c r="AN14" s="767">
        <f>IF($C14=0,"",AA14+AJ14+AK14-AL14-AM14)</f>
        <v>0</v>
      </c>
      <c r="AO14" s="772">
        <f>IF($C14=0,"",SUMIFS(INPUT_DATA!BK:BK,INPUT_DATA!$A:$A,$C14,INPUT_DATA!$C:$C,"D"))</f>
        <v>0</v>
      </c>
      <c r="AP14" s="354">
        <f>IF($C14=0,"",AN14-AO14)</f>
        <v>0</v>
      </c>
      <c r="AS14" s="354">
        <f>IF($C14=0,"",T14+AO14)</f>
        <v>7695508.2399999946</v>
      </c>
      <c r="AT14" s="369"/>
      <c r="AU14" s="378">
        <f>IF($C14=0,"",'03 - Monthly Asset Follow up'!E18+'03 - Monthly Asset Follow up'!F18-'03 - Monthly Asset Follow up'!U18+'03 - Monthly Asset Follow up'!X18-H14)</f>
        <v>-1.862645149230957E-9</v>
      </c>
      <c r="AV14" s="378">
        <f>IF($C14=0,"",'03 - Monthly Asset Follow up'!BD18+'03 - Monthly Asset Follow up'!BE18-'03 - Monthly Asset Follow up'!BT18+'03 - Monthly Asset Follow up'!BW18-AA14)</f>
        <v>0</v>
      </c>
      <c r="AX14" s="371"/>
    </row>
    <row r="15" spans="2:50" x14ac:dyDescent="0.2">
      <c r="B15" s="753">
        <f t="shared" ref="B15:B78" si="4">IF(C16=0,"",C16+1)</f>
        <v>45474</v>
      </c>
      <c r="C15" s="756">
        <f>'03 - Monthly Asset Follow up'!B19</f>
        <v>45504</v>
      </c>
      <c r="D15" s="149"/>
      <c r="E15" s="749">
        <f>IF($C15=0,"",SUMIFS(INPUT_DATA!AU:AU,INPUT_DATA!$A:$A,$C15,INPUT_DATA!$C:$C,"S"))</f>
        <v>4869903.3800000055</v>
      </c>
      <c r="F15" s="761">
        <f>IF($C15=0,"",SUMIFS(INPUT_DATA!AV:AV,INPUT_DATA!$A:$A,$C15,INPUT_DATA!$C:$C,"S"))</f>
        <v>92195.04</v>
      </c>
      <c r="G15" s="761">
        <f>IF($C15=0,"",SUMIFS(INPUT_DATA!AW:AW,INPUT_DATA!$A:$A,$C15,INPUT_DATA!$C:$C,"S"))</f>
        <v>917582.09000000008</v>
      </c>
      <c r="H15" s="763">
        <f t="shared" si="0"/>
        <v>5879680.5100000054</v>
      </c>
      <c r="I15" s="761">
        <f>IF($C15=0,"",SUMIFS(INPUT_DATA!AY:AY,INPUT_DATA!$A:$A,$C15,INPUT_DATA!$C:$C,"S"))</f>
        <v>835676.32000000228</v>
      </c>
      <c r="J15" s="761">
        <f>IF($C15=0,"",SUMIFS(INPUT_DATA!AZ:AZ,INPUT_DATA!$A:$A,$C15,INPUT_DATA!$C:$C,"S"))</f>
        <v>11927.030000000002</v>
      </c>
      <c r="K15" s="761">
        <f>IF($C15=0,"",SUMIFS(INPUT_DATA!BA:BA,INPUT_DATA!$A:$A,$C15,INPUT_DATA!$C:$C,"S"))</f>
        <v>85.460000000000022</v>
      </c>
      <c r="L15" s="761">
        <f>IF($C15=0,"",SUMIFS(INPUT_DATA!BB:BB,INPUT_DATA!$A:$A,$C15,INPUT_DATA!$C:$C,"S"))</f>
        <v>101.62</v>
      </c>
      <c r="M15" s="761">
        <f>IF($C15=0,"",SUMIFS(INPUT_DATA!BC:BC,INPUT_DATA!$A:$A,$C15,INPUT_DATA!$C:$C,"S"))</f>
        <v>0</v>
      </c>
      <c r="N15" s="761">
        <f>IF($C15=0,"",SUMIFS(INPUT_DATA!BD:BD,INPUT_DATA!$A:$A,$C15,INPUT_DATA!$C:$C,"S"))</f>
        <v>5107.01</v>
      </c>
      <c r="O15" s="761">
        <f>IF($C15=0,"",SUMIFS(INPUT_DATA!BE:BE,INPUT_DATA!$A:$A,$C15,INPUT_DATA!$C:$C,"S"))</f>
        <v>0</v>
      </c>
      <c r="P15" s="761">
        <f>IF($C15=0,"",SUMIFS(INPUT_DATA!BF:BF,INPUT_DATA!$A:$A,$C15,INPUT_DATA!$C:$C,"S"))</f>
        <v>0</v>
      </c>
      <c r="Q15" s="767">
        <f t="shared" ref="Q15:Q78" si="5">IF($C15=0,"",I15+J15+K15+L15+M15+N15+O15+P15)</f>
        <v>852897.44000000227</v>
      </c>
      <c r="R15" s="769">
        <f>IF($C15=0,"",SUMIFS(INPUT_DATA!BH:BH,INPUT_DATA!$A:$A,$C15,INPUT_DATA!$C:$C,"S"))</f>
        <v>0</v>
      </c>
      <c r="S15" s="769">
        <f>IF($C15=0,"",SUMIFS(INPUT_DATA!BI:BI,INPUT_DATA!$A:$A,$C15,INPUT_DATA!$C:$C,"S"))</f>
        <v>0</v>
      </c>
      <c r="T15" s="767">
        <f t="shared" ref="T15:T78" si="6">IF($C15=0,"",H15+Q15+R15-S15)</f>
        <v>6732577.9500000076</v>
      </c>
      <c r="U15" s="772">
        <f>IF($C15=0,"",SUMIFS(INPUT_DATA!BL:BL,INPUT_DATA!$A:$A,$C15,INPUT_DATA!$C:$C,"S"))</f>
        <v>6732577.9500000132</v>
      </c>
      <c r="V15" s="155">
        <f t="shared" si="1"/>
        <v>-5.5879354476928711E-9</v>
      </c>
      <c r="W15" s="149"/>
      <c r="X15" s="749">
        <f>IF($C15=0,"",SUMIFS(INPUT_DATA!AU:AU,INPUT_DATA!$A:$A,$C15,INPUT_DATA!$C:$C,"D"))</f>
        <v>0</v>
      </c>
      <c r="Y15" s="761">
        <f>IF($C15=0,"",SUMIFS(INPUT_DATA!AV:AV,INPUT_DATA!$A:$A,$C15,INPUT_DATA!$C:$C,"D"))</f>
        <v>0</v>
      </c>
      <c r="Z15" s="761">
        <f>IF($C15=0,"",SUMIFS(INPUT_DATA!AW:AW,INPUT_DATA!$A:$A,$C15,INPUT_DATA!$C:$C,"D"))</f>
        <v>0</v>
      </c>
      <c r="AA15" s="762">
        <f t="shared" si="2"/>
        <v>0</v>
      </c>
      <c r="AB15" s="761">
        <f>IF($C15=0,"",SUMIFS(INPUT_DATA!AX:AX,INPUT_DATA!$A:$A,$C15,INPUT_DATA!$C:$C,"D"))</f>
        <v>0</v>
      </c>
      <c r="AC15" s="761">
        <f>IF($C15=0,"",SUMIFS(INPUT_DATA!AY:AY,INPUT_DATA!$A:$A,$C15,INPUT_DATA!$C:$C,"D"))</f>
        <v>0</v>
      </c>
      <c r="AD15" s="761">
        <f>IF($C15=0,"",SUMIFS(INPUT_DATA!AZ:AZ,INPUT_DATA!$A:$A,$C15,INPUT_DATA!$C:$C,"D"))</f>
        <v>0</v>
      </c>
      <c r="AE15" s="761">
        <f>IF($C15=0,"",SUMIFS(INPUT_DATA!BA:BA,INPUT_DATA!$A:$A,$C15,INPUT_DATA!$C:$C,"D"))</f>
        <v>0</v>
      </c>
      <c r="AF15" s="761">
        <f>IF($C15=0,"",SUMIFS(INPUT_DATA!BB:BB,INPUT_DATA!$A:$A,$C15,INPUT_DATA!$C:$C,"D"))</f>
        <v>0</v>
      </c>
      <c r="AG15" s="761">
        <f>IF($C15=0,"",SUMIFS(INPUT_DATA!BC:BC,INPUT_DATA!$A:$A,$C15,INPUT_DATA!$C:$C,"D"))</f>
        <v>0</v>
      </c>
      <c r="AH15" s="761">
        <f>IF($C15=0,"",SUMIFS(INPUT_DATA!BD:BD,INPUT_DATA!$A:$A,$C15,INPUT_DATA!$C:$C,"D"))</f>
        <v>0</v>
      </c>
      <c r="AI15" s="761">
        <f>IF($C15=0,"",SUMIFS(INPUT_DATA!BE:BE,INPUT_DATA!$A:$A,$C15,INPUT_DATA!$C:$C,"D"))</f>
        <v>0</v>
      </c>
      <c r="AJ15" s="314">
        <f t="shared" si="3"/>
        <v>0</v>
      </c>
      <c r="AK15" s="769">
        <f>IF($C15=0,"",SUMIFS(INPUT_DATA!BG:BG,INPUT_DATA!$A:$A,$C15,INPUT_DATA!$C:$C,"D"))</f>
        <v>0</v>
      </c>
      <c r="AL15" s="769">
        <f>IF($C15=0,"",SUMIFS(INPUT_DATA!BH:BH,INPUT_DATA!$A:$A,$C15,INPUT_DATA!$C:$C,"D"))</f>
        <v>0</v>
      </c>
      <c r="AM15" s="769">
        <f>IF($C15=0,"",SUMIFS(INPUT_DATA!BI:BI,INPUT_DATA!$A:$A,$C15,INPUT_DATA!$C:$C,"D"))</f>
        <v>0</v>
      </c>
      <c r="AN15" s="767">
        <f t="shared" ref="AN15:AN78" si="7">IF($C15=0,"",AA15+AJ15+AK15-AL15-AM15)</f>
        <v>0</v>
      </c>
      <c r="AO15" s="772">
        <f>IF($C15=0,"",SUMIFS(INPUT_DATA!BK:BK,INPUT_DATA!$A:$A,$C15,INPUT_DATA!$C:$C,"D"))</f>
        <v>0</v>
      </c>
      <c r="AP15" s="354">
        <f t="shared" ref="AP15:AP78" si="8">IF($C15=0,"",AN15-AO15)</f>
        <v>0</v>
      </c>
      <c r="AQ15" s="149"/>
      <c r="AS15" s="354">
        <f t="shared" ref="AS15:AS78" si="9">IF($C15=0,"",T15+AO15)</f>
        <v>6732577.9500000076</v>
      </c>
      <c r="AT15" s="5"/>
      <c r="AU15" s="378">
        <f>IF($C15=0,"",'03 - Monthly Asset Follow up'!E19+'03 - Monthly Asset Follow up'!F19-'03 - Monthly Asset Follow up'!U19+'03 - Monthly Asset Follow up'!X19-H15)</f>
        <v>2.7939677238464355E-9</v>
      </c>
      <c r="AV15" s="378">
        <f>IF($C15=0,"",'03 - Monthly Asset Follow up'!BD19+'03 - Monthly Asset Follow up'!BE19-'03 - Monthly Asset Follow up'!BT19+'03 - Monthly Asset Follow up'!BW19-AA15)</f>
        <v>0</v>
      </c>
      <c r="AX15" s="154"/>
    </row>
    <row r="16" spans="2:50" x14ac:dyDescent="0.2">
      <c r="B16" s="753">
        <f t="shared" si="4"/>
        <v>45444</v>
      </c>
      <c r="C16" s="756">
        <f>'03 - Monthly Asset Follow up'!B20</f>
        <v>45473</v>
      </c>
      <c r="D16" s="149"/>
      <c r="E16" s="749">
        <f>IF($C16=0,"",SUMIFS(INPUT_DATA!AU:AU,INPUT_DATA!$A:$A,$C16,INPUT_DATA!$C:$C,"S"))</f>
        <v>4795029.0699999994</v>
      </c>
      <c r="F16" s="761">
        <f>IF($C16=0,"",SUMIFS(INPUT_DATA!AV:AV,INPUT_DATA!$A:$A,$C16,INPUT_DATA!$C:$C,"S"))</f>
        <v>45633.520000000019</v>
      </c>
      <c r="G16" s="761">
        <f>IF($C16=0,"",SUMIFS(INPUT_DATA!AW:AW,INPUT_DATA!$A:$A,$C16,INPUT_DATA!$C:$C,"S"))</f>
        <v>667655.79</v>
      </c>
      <c r="H16" s="763">
        <f t="shared" si="0"/>
        <v>5508318.3799999999</v>
      </c>
      <c r="I16" s="761">
        <f>IF($C16=0,"",SUMIFS(INPUT_DATA!AY:AY,INPUT_DATA!$A:$A,$C16,INPUT_DATA!$C:$C,"S"))</f>
        <v>836869.96000000054</v>
      </c>
      <c r="J16" s="761">
        <f>IF($C16=0,"",SUMIFS(INPUT_DATA!AZ:AZ,INPUT_DATA!$A:$A,$C16,INPUT_DATA!$C:$C,"S"))</f>
        <v>6985.619999999999</v>
      </c>
      <c r="K16" s="761">
        <f>IF($C16=0,"",SUMIFS(INPUT_DATA!BA:BA,INPUT_DATA!$A:$A,$C16,INPUT_DATA!$C:$C,"S"))</f>
        <v>66.449999999999989</v>
      </c>
      <c r="L16" s="761">
        <f>IF($C16=0,"",SUMIFS(INPUT_DATA!BB:BB,INPUT_DATA!$A:$A,$C16,INPUT_DATA!$C:$C,"S"))</f>
        <v>94.960000000000022</v>
      </c>
      <c r="M16" s="761">
        <f>IF($C16=0,"",SUMIFS(INPUT_DATA!BC:BC,INPUT_DATA!$A:$A,$C16,INPUT_DATA!$C:$C,"S"))</f>
        <v>0</v>
      </c>
      <c r="N16" s="761">
        <f>IF($C16=0,"",SUMIFS(INPUT_DATA!BD:BD,INPUT_DATA!$A:$A,$C16,INPUT_DATA!$C:$C,"S"))</f>
        <v>746.26</v>
      </c>
      <c r="O16" s="761">
        <f>IF($C16=0,"",SUMIFS(INPUT_DATA!BE:BE,INPUT_DATA!$A:$A,$C16,INPUT_DATA!$C:$C,"S"))</f>
        <v>334.82</v>
      </c>
      <c r="P16" s="761">
        <f>IF($C16=0,"",SUMIFS(INPUT_DATA!BF:BF,INPUT_DATA!$A:$A,$C16,INPUT_DATA!$C:$C,"S"))</f>
        <v>0</v>
      </c>
      <c r="Q16" s="767">
        <f t="shared" si="5"/>
        <v>845098.07000000041</v>
      </c>
      <c r="R16" s="769">
        <f>IF($C16=0,"",SUMIFS(INPUT_DATA!BH:BH,INPUT_DATA!$A:$A,$C16,INPUT_DATA!$C:$C,"S"))</f>
        <v>0</v>
      </c>
      <c r="S16" s="769">
        <f>IF($C16=0,"",SUMIFS(INPUT_DATA!BI:BI,INPUT_DATA!$A:$A,$C16,INPUT_DATA!$C:$C,"S"))</f>
        <v>0</v>
      </c>
      <c r="T16" s="767">
        <f t="shared" si="6"/>
        <v>6353416.4500000002</v>
      </c>
      <c r="U16" s="772">
        <f>IF($C16=0,"",SUMIFS(INPUT_DATA!BL:BL,INPUT_DATA!$A:$A,$C16,INPUT_DATA!$C:$C,"S"))</f>
        <v>6353416.4499999927</v>
      </c>
      <c r="V16" s="155">
        <f t="shared" si="1"/>
        <v>7.4505805969238281E-9</v>
      </c>
      <c r="W16" s="149"/>
      <c r="X16" s="749">
        <f>IF($C16=0,"",SUMIFS(INPUT_DATA!AU:AU,INPUT_DATA!$A:$A,$C16,INPUT_DATA!$C:$C,"D"))</f>
        <v>0</v>
      </c>
      <c r="Y16" s="761">
        <f>IF($C16=0,"",SUMIFS(INPUT_DATA!AV:AV,INPUT_DATA!$A:$A,$C16,INPUT_DATA!$C:$C,"D"))</f>
        <v>0</v>
      </c>
      <c r="Z16" s="761">
        <f>IF($C16=0,"",SUMIFS(INPUT_DATA!AW:AW,INPUT_DATA!$A:$A,$C16,INPUT_DATA!$C:$C,"D"))</f>
        <v>0</v>
      </c>
      <c r="AA16" s="762">
        <f t="shared" si="2"/>
        <v>0</v>
      </c>
      <c r="AB16" s="761">
        <f>IF($C16=0,"",SUMIFS(INPUT_DATA!AX:AX,INPUT_DATA!$A:$A,$C16,INPUT_DATA!$C:$C,"D"))</f>
        <v>0</v>
      </c>
      <c r="AC16" s="761">
        <f>IF($C16=0,"",SUMIFS(INPUT_DATA!AY:AY,INPUT_DATA!$A:$A,$C16,INPUT_DATA!$C:$C,"D"))</f>
        <v>0</v>
      </c>
      <c r="AD16" s="761">
        <f>IF($C16=0,"",SUMIFS(INPUT_DATA!AZ:AZ,INPUT_DATA!$A:$A,$C16,INPUT_DATA!$C:$C,"D"))</f>
        <v>0</v>
      </c>
      <c r="AE16" s="761">
        <f>IF($C16=0,"",SUMIFS(INPUT_DATA!BA:BA,INPUT_DATA!$A:$A,$C16,INPUT_DATA!$C:$C,"D"))</f>
        <v>0</v>
      </c>
      <c r="AF16" s="761">
        <f>IF($C16=0,"",SUMIFS(INPUT_DATA!BB:BB,INPUT_DATA!$A:$A,$C16,INPUT_DATA!$C:$C,"D"))</f>
        <v>0</v>
      </c>
      <c r="AG16" s="761">
        <f>IF($C16=0,"",SUMIFS(INPUT_DATA!BC:BC,INPUT_DATA!$A:$A,$C16,INPUT_DATA!$C:$C,"D"))</f>
        <v>0</v>
      </c>
      <c r="AH16" s="761">
        <f>IF($C16=0,"",SUMIFS(INPUT_DATA!BD:BD,INPUT_DATA!$A:$A,$C16,INPUT_DATA!$C:$C,"D"))</f>
        <v>0</v>
      </c>
      <c r="AI16" s="761">
        <f>IF($C16=0,"",SUMIFS(INPUT_DATA!BE:BE,INPUT_DATA!$A:$A,$C16,INPUT_DATA!$C:$C,"D"))</f>
        <v>0</v>
      </c>
      <c r="AJ16" s="314">
        <f t="shared" si="3"/>
        <v>0</v>
      </c>
      <c r="AK16" s="769">
        <f>IF($C16=0,"",SUMIFS(INPUT_DATA!BG:BG,INPUT_DATA!$A:$A,$C16,INPUT_DATA!$C:$C,"D"))</f>
        <v>0</v>
      </c>
      <c r="AL16" s="769">
        <f>IF($C16=0,"",SUMIFS(INPUT_DATA!BH:BH,INPUT_DATA!$A:$A,$C16,INPUT_DATA!$C:$C,"D"))</f>
        <v>0</v>
      </c>
      <c r="AM16" s="769">
        <f>IF($C16=0,"",SUMIFS(INPUT_DATA!BI:BI,INPUT_DATA!$A:$A,$C16,INPUT_DATA!$C:$C,"D"))</f>
        <v>0</v>
      </c>
      <c r="AN16" s="767">
        <f t="shared" si="7"/>
        <v>0</v>
      </c>
      <c r="AO16" s="772">
        <f>IF($C16=0,"",SUMIFS(INPUT_DATA!BK:BK,INPUT_DATA!$A:$A,$C16,INPUT_DATA!$C:$C,"D"))</f>
        <v>0</v>
      </c>
      <c r="AP16" s="354">
        <f t="shared" si="8"/>
        <v>0</v>
      </c>
      <c r="AQ16" s="149"/>
      <c r="AS16" s="354">
        <f t="shared" si="9"/>
        <v>6353416.4500000002</v>
      </c>
      <c r="AU16" s="378">
        <f>IF($C16=0,"",'03 - Monthly Asset Follow up'!E20+'03 - Monthly Asset Follow up'!F20-'03 - Monthly Asset Follow up'!U20+'03 - Monthly Asset Follow up'!X20-H16)</f>
        <v>-2.7939677238464355E-9</v>
      </c>
      <c r="AV16" s="378">
        <f>IF($C16=0,"",'03 - Monthly Asset Follow up'!BD20+'03 - Monthly Asset Follow up'!BE20-'03 - Monthly Asset Follow up'!BT20+'03 - Monthly Asset Follow up'!BW20-AA16)</f>
        <v>0</v>
      </c>
      <c r="AX16" s="154"/>
    </row>
    <row r="17" spans="2:50" x14ac:dyDescent="0.2">
      <c r="B17" s="753">
        <f t="shared" si="4"/>
        <v>45413</v>
      </c>
      <c r="C17" s="756">
        <f>'03 - Monthly Asset Follow up'!B21</f>
        <v>45443</v>
      </c>
      <c r="D17" s="149"/>
      <c r="E17" s="749">
        <f>IF($C17=0,"",SUMIFS(INPUT_DATA!AU:AU,INPUT_DATA!$A:$A,$C17,INPUT_DATA!$C:$C,"S"))</f>
        <v>4846408.2700000014</v>
      </c>
      <c r="F17" s="761">
        <f>IF($C17=0,"",SUMIFS(INPUT_DATA!AV:AV,INPUT_DATA!$A:$A,$C17,INPUT_DATA!$C:$C,"S"))</f>
        <v>71288.189999999988</v>
      </c>
      <c r="G17" s="761">
        <f>IF($C17=0,"",SUMIFS(INPUT_DATA!AW:AW,INPUT_DATA!$A:$A,$C17,INPUT_DATA!$C:$C,"S"))</f>
        <v>581914.99</v>
      </c>
      <c r="H17" s="763">
        <f t="shared" si="0"/>
        <v>5499611.450000002</v>
      </c>
      <c r="I17" s="761">
        <f>IF($C17=0,"",SUMIFS(INPUT_DATA!AY:AY,INPUT_DATA!$A:$A,$C17,INPUT_DATA!$C:$C,"S"))</f>
        <v>848277.42000000027</v>
      </c>
      <c r="J17" s="761">
        <f>IF($C17=0,"",SUMIFS(INPUT_DATA!AZ:AZ,INPUT_DATA!$A:$A,$C17,INPUT_DATA!$C:$C,"S"))</f>
        <v>4392.8799999999992</v>
      </c>
      <c r="K17" s="761">
        <f>IF($C17=0,"",SUMIFS(INPUT_DATA!BA:BA,INPUT_DATA!$A:$A,$C17,INPUT_DATA!$C:$C,"S"))</f>
        <v>66.680000000000021</v>
      </c>
      <c r="L17" s="761">
        <f>IF($C17=0,"",SUMIFS(INPUT_DATA!BB:BB,INPUT_DATA!$A:$A,$C17,INPUT_DATA!$C:$C,"S"))</f>
        <v>83.94999999999996</v>
      </c>
      <c r="M17" s="761">
        <f>IF($C17=0,"",SUMIFS(INPUT_DATA!BC:BC,INPUT_DATA!$A:$A,$C17,INPUT_DATA!$C:$C,"S"))</f>
        <v>0</v>
      </c>
      <c r="N17" s="761">
        <f>IF($C17=0,"",SUMIFS(INPUT_DATA!BD:BD,INPUT_DATA!$A:$A,$C17,INPUT_DATA!$C:$C,"S"))</f>
        <v>1290.83</v>
      </c>
      <c r="O17" s="761">
        <f>IF($C17=0,"",SUMIFS(INPUT_DATA!BE:BE,INPUT_DATA!$A:$A,$C17,INPUT_DATA!$C:$C,"S"))</f>
        <v>11.33</v>
      </c>
      <c r="P17" s="761">
        <f>IF($C17=0,"",SUMIFS(INPUT_DATA!BF:BF,INPUT_DATA!$A:$A,$C17,INPUT_DATA!$C:$C,"S"))</f>
        <v>0</v>
      </c>
      <c r="Q17" s="767">
        <f t="shared" si="5"/>
        <v>854123.0900000002</v>
      </c>
      <c r="R17" s="769">
        <f>IF($C17=0,"",SUMIFS(INPUT_DATA!BH:BH,INPUT_DATA!$A:$A,$C17,INPUT_DATA!$C:$C,"S"))</f>
        <v>0</v>
      </c>
      <c r="S17" s="769">
        <f>IF($C17=0,"",SUMIFS(INPUT_DATA!BI:BI,INPUT_DATA!$A:$A,$C17,INPUT_DATA!$C:$C,"S"))</f>
        <v>0</v>
      </c>
      <c r="T17" s="767">
        <f t="shared" si="6"/>
        <v>6353734.5400000019</v>
      </c>
      <c r="U17" s="772">
        <f>IF($C17=0,"",SUMIFS(INPUT_DATA!BL:BL,INPUT_DATA!$A:$A,$C17,INPUT_DATA!$C:$C,"S"))</f>
        <v>6353734.540000001</v>
      </c>
      <c r="V17" s="155">
        <f t="shared" si="1"/>
        <v>9.3132257461547852E-10</v>
      </c>
      <c r="W17" s="149"/>
      <c r="X17" s="749">
        <f>IF($C17=0,"",SUMIFS(INPUT_DATA!AU:AU,INPUT_DATA!$A:$A,$C17,INPUT_DATA!$C:$C,"D"))</f>
        <v>0</v>
      </c>
      <c r="Y17" s="761">
        <f>IF($C17=0,"",SUMIFS(INPUT_DATA!AV:AV,INPUT_DATA!$A:$A,$C17,INPUT_DATA!$C:$C,"D"))</f>
        <v>0</v>
      </c>
      <c r="Z17" s="761">
        <f>IF($C17=0,"",SUMIFS(INPUT_DATA!AW:AW,INPUT_DATA!$A:$A,$C17,INPUT_DATA!$C:$C,"D"))</f>
        <v>0</v>
      </c>
      <c r="AA17" s="762">
        <f t="shared" si="2"/>
        <v>0</v>
      </c>
      <c r="AB17" s="761">
        <f>IF($C17=0,"",SUMIFS(INPUT_DATA!AX:AX,INPUT_DATA!$A:$A,$C17,INPUT_DATA!$C:$C,"D"))</f>
        <v>0</v>
      </c>
      <c r="AC17" s="761">
        <f>IF($C17=0,"",SUMIFS(INPUT_DATA!AY:AY,INPUT_DATA!$A:$A,$C17,INPUT_DATA!$C:$C,"D"))</f>
        <v>0</v>
      </c>
      <c r="AD17" s="761">
        <f>IF($C17=0,"",SUMIFS(INPUT_DATA!AZ:AZ,INPUT_DATA!$A:$A,$C17,INPUT_DATA!$C:$C,"D"))</f>
        <v>0</v>
      </c>
      <c r="AE17" s="761">
        <f>IF($C17=0,"",SUMIFS(INPUT_DATA!BA:BA,INPUT_DATA!$A:$A,$C17,INPUT_DATA!$C:$C,"D"))</f>
        <v>0</v>
      </c>
      <c r="AF17" s="761">
        <f>IF($C17=0,"",SUMIFS(INPUT_DATA!BB:BB,INPUT_DATA!$A:$A,$C17,INPUT_DATA!$C:$C,"D"))</f>
        <v>0</v>
      </c>
      <c r="AG17" s="761">
        <f>IF($C17=0,"",SUMIFS(INPUT_DATA!BC:BC,INPUT_DATA!$A:$A,$C17,INPUT_DATA!$C:$C,"D"))</f>
        <v>0</v>
      </c>
      <c r="AH17" s="761">
        <f>IF($C17=0,"",SUMIFS(INPUT_DATA!BD:BD,INPUT_DATA!$A:$A,$C17,INPUT_DATA!$C:$C,"D"))</f>
        <v>0</v>
      </c>
      <c r="AI17" s="761">
        <f>IF($C17=0,"",SUMIFS(INPUT_DATA!BE:BE,INPUT_DATA!$A:$A,$C17,INPUT_DATA!$C:$C,"D"))</f>
        <v>0</v>
      </c>
      <c r="AJ17" s="314">
        <f t="shared" si="3"/>
        <v>0</v>
      </c>
      <c r="AK17" s="769">
        <f>IF($C17=0,"",SUMIFS(INPUT_DATA!BG:BG,INPUT_DATA!$A:$A,$C17,INPUT_DATA!$C:$C,"D"))</f>
        <v>0</v>
      </c>
      <c r="AL17" s="769">
        <f>IF($C17=0,"",SUMIFS(INPUT_DATA!BH:BH,INPUT_DATA!$A:$A,$C17,INPUT_DATA!$C:$C,"D"))</f>
        <v>0</v>
      </c>
      <c r="AM17" s="769">
        <f>IF($C17=0,"",SUMIFS(INPUT_DATA!BI:BI,INPUT_DATA!$A:$A,$C17,INPUT_DATA!$C:$C,"D"))</f>
        <v>0</v>
      </c>
      <c r="AN17" s="767">
        <f t="shared" si="7"/>
        <v>0</v>
      </c>
      <c r="AO17" s="772">
        <f>IF($C17=0,"",SUMIFS(INPUT_DATA!BK:BK,INPUT_DATA!$A:$A,$C17,INPUT_DATA!$C:$C,"D"))</f>
        <v>0</v>
      </c>
      <c r="AP17" s="354">
        <f t="shared" si="8"/>
        <v>0</v>
      </c>
      <c r="AQ17" s="149"/>
      <c r="AS17" s="354">
        <f t="shared" si="9"/>
        <v>6353734.5400000019</v>
      </c>
      <c r="AU17" s="378">
        <f>IF($C17=0,"",'03 - Monthly Asset Follow up'!E21+'03 - Monthly Asset Follow up'!F21-'03 - Monthly Asset Follow up'!U21+'03 - Monthly Asset Follow up'!X21-H17)</f>
        <v>9.3132257461547852E-10</v>
      </c>
      <c r="AV17" s="378">
        <f>IF($C17=0,"",'03 - Monthly Asset Follow up'!BD21+'03 - Monthly Asset Follow up'!BE21-'03 - Monthly Asset Follow up'!BT21+'03 - Monthly Asset Follow up'!BW21-AA17)</f>
        <v>0</v>
      </c>
      <c r="AX17" s="154"/>
    </row>
    <row r="18" spans="2:50" x14ac:dyDescent="0.2">
      <c r="B18" s="753">
        <f t="shared" si="4"/>
        <v>45383</v>
      </c>
      <c r="C18" s="756">
        <f>'03 - Monthly Asset Follow up'!B22</f>
        <v>45412</v>
      </c>
      <c r="D18" s="149"/>
      <c r="E18" s="749">
        <f>IF($C18=0,"",SUMIFS(INPUT_DATA!AU:AU,INPUT_DATA!$A:$A,$C18,INPUT_DATA!$C:$C,"S"))</f>
        <v>4880763.589999998</v>
      </c>
      <c r="F18" s="761">
        <f>IF($C18=0,"",SUMIFS(INPUT_DATA!AV:AV,INPUT_DATA!$A:$A,$C18,INPUT_DATA!$C:$C,"S"))</f>
        <v>75454.919999999984</v>
      </c>
      <c r="G18" s="761">
        <f>IF($C18=0,"",SUMIFS(INPUT_DATA!AW:AW,INPUT_DATA!$A:$A,$C18,INPUT_DATA!$C:$C,"S"))</f>
        <v>515506.72</v>
      </c>
      <c r="H18" s="763">
        <f t="shared" si="0"/>
        <v>5471725.2299999977</v>
      </c>
      <c r="I18" s="761">
        <f>IF($C18=0,"",SUMIFS(INPUT_DATA!AY:AY,INPUT_DATA!$A:$A,$C18,INPUT_DATA!$C:$C,"S"))</f>
        <v>863157.00999999978</v>
      </c>
      <c r="J18" s="761">
        <f>IF($C18=0,"",SUMIFS(INPUT_DATA!AZ:AZ,INPUT_DATA!$A:$A,$C18,INPUT_DATA!$C:$C,"S"))</f>
        <v>4831.4800000000014</v>
      </c>
      <c r="K18" s="761">
        <f>IF($C18=0,"",SUMIFS(INPUT_DATA!BA:BA,INPUT_DATA!$A:$A,$C18,INPUT_DATA!$C:$C,"S"))</f>
        <v>94.38000000000001</v>
      </c>
      <c r="L18" s="761">
        <f>IF($C18=0,"",SUMIFS(INPUT_DATA!BB:BB,INPUT_DATA!$A:$A,$C18,INPUT_DATA!$C:$C,"S"))</f>
        <v>118.33999999999997</v>
      </c>
      <c r="M18" s="761">
        <f>IF($C18=0,"",SUMIFS(INPUT_DATA!BC:BC,INPUT_DATA!$A:$A,$C18,INPUT_DATA!$C:$C,"S"))</f>
        <v>0</v>
      </c>
      <c r="N18" s="761">
        <f>IF($C18=0,"",SUMIFS(INPUT_DATA!BD:BD,INPUT_DATA!$A:$A,$C18,INPUT_DATA!$C:$C,"S"))</f>
        <v>3335.81</v>
      </c>
      <c r="O18" s="761">
        <f>IF($C18=0,"",SUMIFS(INPUT_DATA!BE:BE,INPUT_DATA!$A:$A,$C18,INPUT_DATA!$C:$C,"S"))</f>
        <v>42.980000000000004</v>
      </c>
      <c r="P18" s="761">
        <f>IF($C18=0,"",SUMIFS(INPUT_DATA!BF:BF,INPUT_DATA!$A:$A,$C18,INPUT_DATA!$C:$C,"S"))</f>
        <v>0</v>
      </c>
      <c r="Q18" s="767">
        <f t="shared" si="5"/>
        <v>871579.99999999977</v>
      </c>
      <c r="R18" s="769">
        <f>IF($C18=0,"",SUMIFS(INPUT_DATA!BH:BH,INPUT_DATA!$A:$A,$C18,INPUT_DATA!$C:$C,"S"))</f>
        <v>0</v>
      </c>
      <c r="S18" s="769">
        <f>IF($C18=0,"",SUMIFS(INPUT_DATA!BI:BI,INPUT_DATA!$A:$A,$C18,INPUT_DATA!$C:$C,"S"))</f>
        <v>0</v>
      </c>
      <c r="T18" s="767">
        <f t="shared" si="6"/>
        <v>6343305.2299999977</v>
      </c>
      <c r="U18" s="772">
        <f>IF($C18=0,"",SUMIFS(INPUT_DATA!BL:BL,INPUT_DATA!$A:$A,$C18,INPUT_DATA!$C:$C,"S"))</f>
        <v>6343305.2299999986</v>
      </c>
      <c r="V18" s="155">
        <f t="shared" si="1"/>
        <v>-9.3132257461547852E-10</v>
      </c>
      <c r="W18" s="149"/>
      <c r="X18" s="749">
        <f>IF($C18=0,"",SUMIFS(INPUT_DATA!AU:AU,INPUT_DATA!$A:$A,$C18,INPUT_DATA!$C:$C,"D"))</f>
        <v>0</v>
      </c>
      <c r="Y18" s="761">
        <f>IF($C18=0,"",SUMIFS(INPUT_DATA!AV:AV,INPUT_DATA!$A:$A,$C18,INPUT_DATA!$C:$C,"D"))</f>
        <v>0</v>
      </c>
      <c r="Z18" s="761">
        <f>IF($C18=0,"",SUMIFS(INPUT_DATA!AW:AW,INPUT_DATA!$A:$A,$C18,INPUT_DATA!$C:$C,"D"))</f>
        <v>0</v>
      </c>
      <c r="AA18" s="762">
        <f t="shared" si="2"/>
        <v>0</v>
      </c>
      <c r="AB18" s="761">
        <f>IF($C18=0,"",SUMIFS(INPUT_DATA!AX:AX,INPUT_DATA!$A:$A,$C18,INPUT_DATA!$C:$C,"D"))</f>
        <v>0</v>
      </c>
      <c r="AC18" s="761">
        <f>IF($C18=0,"",SUMIFS(INPUT_DATA!AY:AY,INPUT_DATA!$A:$A,$C18,INPUT_DATA!$C:$C,"D"))</f>
        <v>0</v>
      </c>
      <c r="AD18" s="761">
        <f>IF($C18=0,"",SUMIFS(INPUT_DATA!AZ:AZ,INPUT_DATA!$A:$A,$C18,INPUT_DATA!$C:$C,"D"))</f>
        <v>0</v>
      </c>
      <c r="AE18" s="761">
        <f>IF($C18=0,"",SUMIFS(INPUT_DATA!BA:BA,INPUT_DATA!$A:$A,$C18,INPUT_DATA!$C:$C,"D"))</f>
        <v>0</v>
      </c>
      <c r="AF18" s="761">
        <f>IF($C18=0,"",SUMIFS(INPUT_DATA!BB:BB,INPUT_DATA!$A:$A,$C18,INPUT_DATA!$C:$C,"D"))</f>
        <v>0</v>
      </c>
      <c r="AG18" s="761">
        <f>IF($C18=0,"",SUMIFS(INPUT_DATA!BC:BC,INPUT_DATA!$A:$A,$C18,INPUT_DATA!$C:$C,"D"))</f>
        <v>0</v>
      </c>
      <c r="AH18" s="761">
        <f>IF($C18=0,"",SUMIFS(INPUT_DATA!BD:BD,INPUT_DATA!$A:$A,$C18,INPUT_DATA!$C:$C,"D"))</f>
        <v>0</v>
      </c>
      <c r="AI18" s="761">
        <f>IF($C18=0,"",SUMIFS(INPUT_DATA!BE:BE,INPUT_DATA!$A:$A,$C18,INPUT_DATA!$C:$C,"D"))</f>
        <v>0</v>
      </c>
      <c r="AJ18" s="314">
        <f t="shared" si="3"/>
        <v>0</v>
      </c>
      <c r="AK18" s="769">
        <f>IF($C18=0,"",SUMIFS(INPUT_DATA!BG:BG,INPUT_DATA!$A:$A,$C18,INPUT_DATA!$C:$C,"D"))</f>
        <v>0</v>
      </c>
      <c r="AL18" s="769">
        <f>IF($C18=0,"",SUMIFS(INPUT_DATA!BH:BH,INPUT_DATA!$A:$A,$C18,INPUT_DATA!$C:$C,"D"))</f>
        <v>0</v>
      </c>
      <c r="AM18" s="769">
        <f>IF($C18=0,"",SUMIFS(INPUT_DATA!BI:BI,INPUT_DATA!$A:$A,$C18,INPUT_DATA!$C:$C,"D"))</f>
        <v>0</v>
      </c>
      <c r="AN18" s="767">
        <f t="shared" si="7"/>
        <v>0</v>
      </c>
      <c r="AO18" s="772">
        <f>IF($C18=0,"",SUMIFS(INPUT_DATA!BK:BK,INPUT_DATA!$A:$A,$C18,INPUT_DATA!$C:$C,"D"))</f>
        <v>0</v>
      </c>
      <c r="AP18" s="354">
        <f t="shared" si="8"/>
        <v>0</v>
      </c>
      <c r="AQ18" s="149"/>
      <c r="AS18" s="354">
        <f t="shared" si="9"/>
        <v>6343305.2299999977</v>
      </c>
      <c r="AU18" s="378">
        <f>IF($C18=0,"",'03 - Monthly Asset Follow up'!E22+'03 - Monthly Asset Follow up'!F22-'03 - Monthly Asset Follow up'!U22+'03 - Monthly Asset Follow up'!X22-H18)</f>
        <v>2.7939677238464355E-9</v>
      </c>
      <c r="AV18" s="378">
        <f>IF($C18=0,"",'03 - Monthly Asset Follow up'!BD22+'03 - Monthly Asset Follow up'!BE22-'03 - Monthly Asset Follow up'!BT22+'03 - Monthly Asset Follow up'!BW22-AA18)</f>
        <v>0</v>
      </c>
      <c r="AX18" s="154"/>
    </row>
    <row r="19" spans="2:50" x14ac:dyDescent="0.2">
      <c r="B19" s="753">
        <f t="shared" si="4"/>
        <v>45352</v>
      </c>
      <c r="C19" s="756">
        <f>'03 - Monthly Asset Follow up'!B23</f>
        <v>45382</v>
      </c>
      <c r="D19" s="149"/>
      <c r="E19" s="749">
        <f>IF($C19=0,"",SUMIFS(INPUT_DATA!AU:AU,INPUT_DATA!$A:$A,$C19,INPUT_DATA!$C:$C,"S"))</f>
        <v>4859520.2599999951</v>
      </c>
      <c r="F19" s="761">
        <f>IF($C19=0,"",SUMIFS(INPUT_DATA!AV:AV,INPUT_DATA!$A:$A,$C19,INPUT_DATA!$C:$C,"S"))</f>
        <v>72540.579999999973</v>
      </c>
      <c r="G19" s="761">
        <f>IF($C19=0,"",SUMIFS(INPUT_DATA!AW:AW,INPUT_DATA!$A:$A,$C19,INPUT_DATA!$C:$C,"S"))</f>
        <v>1371710.64</v>
      </c>
      <c r="H19" s="763">
        <f t="shared" si="0"/>
        <v>6303771.4799999949</v>
      </c>
      <c r="I19" s="761">
        <f>IF($C19=0,"",SUMIFS(INPUT_DATA!AY:AY,INPUT_DATA!$A:$A,$C19,INPUT_DATA!$C:$C,"S"))</f>
        <v>868476.57</v>
      </c>
      <c r="J19" s="761">
        <f>IF($C19=0,"",SUMIFS(INPUT_DATA!AZ:AZ,INPUT_DATA!$A:$A,$C19,INPUT_DATA!$C:$C,"S"))</f>
        <v>6105.58</v>
      </c>
      <c r="K19" s="761">
        <f>IF($C19=0,"",SUMIFS(INPUT_DATA!BA:BA,INPUT_DATA!$A:$A,$C19,INPUT_DATA!$C:$C,"S"))</f>
        <v>93.37</v>
      </c>
      <c r="L19" s="761">
        <f>IF($C19=0,"",SUMIFS(INPUT_DATA!BB:BB,INPUT_DATA!$A:$A,$C19,INPUT_DATA!$C:$C,"S"))</f>
        <v>98.68</v>
      </c>
      <c r="M19" s="761">
        <f>IF($C19=0,"",SUMIFS(INPUT_DATA!BC:BC,INPUT_DATA!$A:$A,$C19,INPUT_DATA!$C:$C,"S"))</f>
        <v>0</v>
      </c>
      <c r="N19" s="761">
        <f>IF($C19=0,"",SUMIFS(INPUT_DATA!BD:BD,INPUT_DATA!$A:$A,$C19,INPUT_DATA!$C:$C,"S"))</f>
        <v>9027.6500000000015</v>
      </c>
      <c r="O19" s="761">
        <f>IF($C19=0,"",SUMIFS(INPUT_DATA!BE:BE,INPUT_DATA!$A:$A,$C19,INPUT_DATA!$C:$C,"S"))</f>
        <v>57.430000000000007</v>
      </c>
      <c r="P19" s="761">
        <f>IF($C19=0,"",SUMIFS(INPUT_DATA!BF:BF,INPUT_DATA!$A:$A,$C19,INPUT_DATA!$C:$C,"S"))</f>
        <v>0</v>
      </c>
      <c r="Q19" s="767">
        <f t="shared" si="5"/>
        <v>883859.28</v>
      </c>
      <c r="R19" s="769">
        <f>IF($C19=0,"",SUMIFS(INPUT_DATA!BH:BH,INPUT_DATA!$A:$A,$C19,INPUT_DATA!$C:$C,"S"))</f>
        <v>0</v>
      </c>
      <c r="S19" s="769">
        <f>IF($C19=0,"",SUMIFS(INPUT_DATA!BI:BI,INPUT_DATA!$A:$A,$C19,INPUT_DATA!$C:$C,"S"))</f>
        <v>0</v>
      </c>
      <c r="T19" s="767">
        <f t="shared" si="6"/>
        <v>7187630.7599999951</v>
      </c>
      <c r="U19" s="772">
        <f>IF($C19=0,"",SUMIFS(INPUT_DATA!BL:BL,INPUT_DATA!$A:$A,$C19,INPUT_DATA!$C:$C,"S"))</f>
        <v>7187630.7599999998</v>
      </c>
      <c r="V19" s="155">
        <f t="shared" si="1"/>
        <v>-4.6566128730773926E-9</v>
      </c>
      <c r="W19" s="149"/>
      <c r="X19" s="749">
        <f>IF($C19=0,"",SUMIFS(INPUT_DATA!AU:AU,INPUT_DATA!$A:$A,$C19,INPUT_DATA!$C:$C,"D"))</f>
        <v>0</v>
      </c>
      <c r="Y19" s="761">
        <f>IF($C19=0,"",SUMIFS(INPUT_DATA!AV:AV,INPUT_DATA!$A:$A,$C19,INPUT_DATA!$C:$C,"D"))</f>
        <v>0</v>
      </c>
      <c r="Z19" s="761">
        <f>IF($C19=0,"",SUMIFS(INPUT_DATA!AW:AW,INPUT_DATA!$A:$A,$C19,INPUT_DATA!$C:$C,"D"))</f>
        <v>0</v>
      </c>
      <c r="AA19" s="762">
        <f t="shared" si="2"/>
        <v>0</v>
      </c>
      <c r="AB19" s="761">
        <f>IF($C19=0,"",SUMIFS(INPUT_DATA!AX:AX,INPUT_DATA!$A:$A,$C19,INPUT_DATA!$C:$C,"D"))</f>
        <v>0</v>
      </c>
      <c r="AC19" s="761">
        <f>IF($C19=0,"",SUMIFS(INPUT_DATA!AY:AY,INPUT_DATA!$A:$A,$C19,INPUT_DATA!$C:$C,"D"))</f>
        <v>0</v>
      </c>
      <c r="AD19" s="761">
        <f>IF($C19=0,"",SUMIFS(INPUT_DATA!AZ:AZ,INPUT_DATA!$A:$A,$C19,INPUT_DATA!$C:$C,"D"))</f>
        <v>0</v>
      </c>
      <c r="AE19" s="761">
        <f>IF($C19=0,"",SUMIFS(INPUT_DATA!BA:BA,INPUT_DATA!$A:$A,$C19,INPUT_DATA!$C:$C,"D"))</f>
        <v>0</v>
      </c>
      <c r="AF19" s="761">
        <f>IF($C19=0,"",SUMIFS(INPUT_DATA!BB:BB,INPUT_DATA!$A:$A,$C19,INPUT_DATA!$C:$C,"D"))</f>
        <v>0</v>
      </c>
      <c r="AG19" s="761">
        <f>IF($C19=0,"",SUMIFS(INPUT_DATA!BC:BC,INPUT_DATA!$A:$A,$C19,INPUT_DATA!$C:$C,"D"))</f>
        <v>0</v>
      </c>
      <c r="AH19" s="761">
        <f>IF($C19=0,"",SUMIFS(INPUT_DATA!BD:BD,INPUT_DATA!$A:$A,$C19,INPUT_DATA!$C:$C,"D"))</f>
        <v>0</v>
      </c>
      <c r="AI19" s="761">
        <f>IF($C19=0,"",SUMIFS(INPUT_DATA!BE:BE,INPUT_DATA!$A:$A,$C19,INPUT_DATA!$C:$C,"D"))</f>
        <v>0</v>
      </c>
      <c r="AJ19" s="314">
        <f t="shared" si="3"/>
        <v>0</v>
      </c>
      <c r="AK19" s="769">
        <f>IF($C19=0,"",SUMIFS(INPUT_DATA!BG:BG,INPUT_DATA!$A:$A,$C19,INPUT_DATA!$C:$C,"D"))</f>
        <v>0</v>
      </c>
      <c r="AL19" s="769">
        <f>IF($C19=0,"",SUMIFS(INPUT_DATA!BH:BH,INPUT_DATA!$A:$A,$C19,INPUT_DATA!$C:$C,"D"))</f>
        <v>0</v>
      </c>
      <c r="AM19" s="769">
        <f>IF($C19=0,"",SUMIFS(INPUT_DATA!BI:BI,INPUT_DATA!$A:$A,$C19,INPUT_DATA!$C:$C,"D"))</f>
        <v>0</v>
      </c>
      <c r="AN19" s="767">
        <f t="shared" si="7"/>
        <v>0</v>
      </c>
      <c r="AO19" s="772">
        <f>IF($C19=0,"",SUMIFS(INPUT_DATA!BK:BK,INPUT_DATA!$A:$A,$C19,INPUT_DATA!$C:$C,"D"))</f>
        <v>0</v>
      </c>
      <c r="AP19" s="354">
        <f t="shared" si="8"/>
        <v>0</v>
      </c>
      <c r="AQ19" s="149"/>
      <c r="AS19" s="354">
        <f t="shared" si="9"/>
        <v>7187630.7599999951</v>
      </c>
      <c r="AU19" s="378">
        <f>IF($C19=0,"",'03 - Monthly Asset Follow up'!E23+'03 - Monthly Asset Follow up'!F23-'03 - Monthly Asset Follow up'!U23+'03 - Monthly Asset Follow up'!X23-H19)</f>
        <v>1.862645149230957E-9</v>
      </c>
      <c r="AV19" s="378">
        <f>IF($C19=0,"",'03 - Monthly Asset Follow up'!BD23+'03 - Monthly Asset Follow up'!BE23-'03 - Monthly Asset Follow up'!BT23+'03 - Monthly Asset Follow up'!BW23-AA19)</f>
        <v>0</v>
      </c>
      <c r="AX19" s="154"/>
    </row>
    <row r="20" spans="2:50" x14ac:dyDescent="0.2">
      <c r="B20" s="753">
        <f t="shared" si="4"/>
        <v>45323</v>
      </c>
      <c r="C20" s="756">
        <f>'03 - Monthly Asset Follow up'!B24</f>
        <v>45351</v>
      </c>
      <c r="D20" s="149"/>
      <c r="E20" s="749">
        <f>IF($C20=0,"",SUMIFS(INPUT_DATA!AU:AU,INPUT_DATA!$A:$A,$C20,INPUT_DATA!$C:$C,"S"))</f>
        <v>4861727.45</v>
      </c>
      <c r="F20" s="761">
        <f>IF($C20=0,"",SUMIFS(INPUT_DATA!AV:AV,INPUT_DATA!$A:$A,$C20,INPUT_DATA!$C:$C,"S"))</f>
        <v>64572.6</v>
      </c>
      <c r="G20" s="761">
        <f>IF($C20=0,"",SUMIFS(INPUT_DATA!AW:AW,INPUT_DATA!$A:$A,$C20,INPUT_DATA!$C:$C,"S"))</f>
        <v>3676512.91</v>
      </c>
      <c r="H20" s="763">
        <f t="shared" si="0"/>
        <v>8602812.9600000009</v>
      </c>
      <c r="I20" s="761">
        <f>IF($C20=0,"",SUMIFS(INPUT_DATA!AY:AY,INPUT_DATA!$A:$A,$C20,INPUT_DATA!$C:$C,"S"))</f>
        <v>875993.2</v>
      </c>
      <c r="J20" s="761">
        <f>IF($C20=0,"",SUMIFS(INPUT_DATA!AZ:AZ,INPUT_DATA!$A:$A,$C20,INPUT_DATA!$C:$C,"S"))</f>
        <v>7158.66</v>
      </c>
      <c r="K20" s="761">
        <f>IF($C20=0,"",SUMIFS(INPUT_DATA!BA:BA,INPUT_DATA!$A:$A,$C20,INPUT_DATA!$C:$C,"S"))</f>
        <v>104.95</v>
      </c>
      <c r="L20" s="761">
        <f>IF($C20=0,"",SUMIFS(INPUT_DATA!BB:BB,INPUT_DATA!$A:$A,$C20,INPUT_DATA!$C:$C,"S"))</f>
        <v>115.6</v>
      </c>
      <c r="M20" s="761">
        <f>IF($C20=0,"",SUMIFS(INPUT_DATA!BC:BC,INPUT_DATA!$A:$A,$C20,INPUT_DATA!$C:$C,"S"))</f>
        <v>0</v>
      </c>
      <c r="N20" s="761">
        <f>IF($C20=0,"",SUMIFS(INPUT_DATA!BD:BD,INPUT_DATA!$A:$A,$C20,INPUT_DATA!$C:$C,"S"))</f>
        <v>1176.25</v>
      </c>
      <c r="O20" s="761">
        <f>IF($C20=0,"",SUMIFS(INPUT_DATA!BE:BE,INPUT_DATA!$A:$A,$C20,INPUT_DATA!$C:$C,"S"))</f>
        <v>4.59</v>
      </c>
      <c r="P20" s="761">
        <f>IF($C20=0,"",SUMIFS(INPUT_DATA!BF:BF,INPUT_DATA!$A:$A,$C20,INPUT_DATA!$C:$C,"S"))</f>
        <v>0</v>
      </c>
      <c r="Q20" s="767">
        <f t="shared" si="5"/>
        <v>884553.24999999988</v>
      </c>
      <c r="R20" s="769">
        <f>IF($C20=0,"",SUMIFS(INPUT_DATA!BH:BH,INPUT_DATA!$A:$A,$C20,INPUT_DATA!$C:$C,"S"))</f>
        <v>0</v>
      </c>
      <c r="S20" s="769">
        <f>IF($C20=0,"",SUMIFS(INPUT_DATA!BI:BI,INPUT_DATA!$A:$A,$C20,INPUT_DATA!$C:$C,"S"))</f>
        <v>0</v>
      </c>
      <c r="T20" s="767">
        <f t="shared" si="6"/>
        <v>9487366.2100000009</v>
      </c>
      <c r="U20" s="772">
        <f>IF($C20=0,"",SUMIFS(INPUT_DATA!BL:BL,INPUT_DATA!$A:$A,$C20,INPUT_DATA!$C:$C,"S"))</f>
        <v>9487366.2100000009</v>
      </c>
      <c r="V20" s="155">
        <f t="shared" si="1"/>
        <v>0</v>
      </c>
      <c r="W20" s="149"/>
      <c r="X20" s="749">
        <f>IF($C20=0,"",SUMIFS(INPUT_DATA!AU:AU,INPUT_DATA!$A:$A,$C20,INPUT_DATA!$C:$C,"D"))</f>
        <v>0</v>
      </c>
      <c r="Y20" s="761">
        <f>IF($C20=0,"",SUMIFS(INPUT_DATA!AV:AV,INPUT_DATA!$A:$A,$C20,INPUT_DATA!$C:$C,"D"))</f>
        <v>0</v>
      </c>
      <c r="Z20" s="761">
        <f>IF($C20=0,"",SUMIFS(INPUT_DATA!AW:AW,INPUT_DATA!$A:$A,$C20,INPUT_DATA!$C:$C,"D"))</f>
        <v>0</v>
      </c>
      <c r="AA20" s="762">
        <f t="shared" si="2"/>
        <v>0</v>
      </c>
      <c r="AB20" s="761">
        <f>IF($C20=0,"",SUMIFS(INPUT_DATA!AX:AX,INPUT_DATA!$A:$A,$C20,INPUT_DATA!$C:$C,"D"))</f>
        <v>0</v>
      </c>
      <c r="AC20" s="761">
        <f>IF($C20=0,"",SUMIFS(INPUT_DATA!AY:AY,INPUT_DATA!$A:$A,$C20,INPUT_DATA!$C:$C,"D"))</f>
        <v>0</v>
      </c>
      <c r="AD20" s="761">
        <f>IF($C20=0,"",SUMIFS(INPUT_DATA!AZ:AZ,INPUT_DATA!$A:$A,$C20,INPUT_DATA!$C:$C,"D"))</f>
        <v>0</v>
      </c>
      <c r="AE20" s="761">
        <f>IF($C20=0,"",SUMIFS(INPUT_DATA!BA:BA,INPUT_DATA!$A:$A,$C20,INPUT_DATA!$C:$C,"D"))</f>
        <v>0</v>
      </c>
      <c r="AF20" s="761">
        <f>IF($C20=0,"",SUMIFS(INPUT_DATA!BB:BB,INPUT_DATA!$A:$A,$C20,INPUT_DATA!$C:$C,"D"))</f>
        <v>0</v>
      </c>
      <c r="AG20" s="761">
        <f>IF($C20=0,"",SUMIFS(INPUT_DATA!BC:BC,INPUT_DATA!$A:$A,$C20,INPUT_DATA!$C:$C,"D"))</f>
        <v>0</v>
      </c>
      <c r="AH20" s="761">
        <f>IF($C20=0,"",SUMIFS(INPUT_DATA!BD:BD,INPUT_DATA!$A:$A,$C20,INPUT_DATA!$C:$C,"D"))</f>
        <v>0</v>
      </c>
      <c r="AI20" s="761">
        <f>IF($C20=0,"",SUMIFS(INPUT_DATA!BE:BE,INPUT_DATA!$A:$A,$C20,INPUT_DATA!$C:$C,"D"))</f>
        <v>0</v>
      </c>
      <c r="AJ20" s="314">
        <f t="shared" si="3"/>
        <v>0</v>
      </c>
      <c r="AK20" s="769">
        <f>IF($C20=0,"",SUMIFS(INPUT_DATA!BG:BG,INPUT_DATA!$A:$A,$C20,INPUT_DATA!$C:$C,"D"))</f>
        <v>0</v>
      </c>
      <c r="AL20" s="769">
        <f>IF($C20=0,"",SUMIFS(INPUT_DATA!BH:BH,INPUT_DATA!$A:$A,$C20,INPUT_DATA!$C:$C,"D"))</f>
        <v>0</v>
      </c>
      <c r="AM20" s="769">
        <f>IF($C20=0,"",SUMIFS(INPUT_DATA!BI:BI,INPUT_DATA!$A:$A,$C20,INPUT_DATA!$C:$C,"D"))</f>
        <v>0</v>
      </c>
      <c r="AN20" s="767">
        <f t="shared" si="7"/>
        <v>0</v>
      </c>
      <c r="AO20" s="772">
        <f>IF($C20=0,"",SUMIFS(INPUT_DATA!BK:BK,INPUT_DATA!$A:$A,$C20,INPUT_DATA!$C:$C,"D"))</f>
        <v>0</v>
      </c>
      <c r="AP20" s="354">
        <f t="shared" si="8"/>
        <v>0</v>
      </c>
      <c r="AQ20" s="149"/>
      <c r="AS20" s="354">
        <f t="shared" si="9"/>
        <v>9487366.2100000009</v>
      </c>
      <c r="AU20" s="378">
        <f>IF($C20=0,"",'03 - Monthly Asset Follow up'!E24+'03 - Monthly Asset Follow up'!F24-'03 - Monthly Asset Follow up'!U24+'03 - Monthly Asset Follow up'!X24-H20)</f>
        <v>-1.862645149230957E-9</v>
      </c>
      <c r="AV20" s="378">
        <f>IF($C20=0,"",'03 - Monthly Asset Follow up'!BD24+'03 - Monthly Asset Follow up'!BE24-'03 - Monthly Asset Follow up'!BT24+'03 - Monthly Asset Follow up'!BW24-AA20)</f>
        <v>0</v>
      </c>
      <c r="AX20" s="154"/>
    </row>
    <row r="21" spans="2:50" x14ac:dyDescent="0.2">
      <c r="B21" s="753">
        <f t="shared" si="4"/>
        <v>45292</v>
      </c>
      <c r="C21" s="756">
        <f>'03 - Monthly Asset Follow up'!B25</f>
        <v>45322</v>
      </c>
      <c r="D21" s="149"/>
      <c r="E21" s="749">
        <f>IF($C21=0,"",SUMIFS(INPUT_DATA!AU:AU,INPUT_DATA!$A:$A,$C21,INPUT_DATA!$C:$C,"S"))</f>
        <v>4932621.09</v>
      </c>
      <c r="F21" s="761">
        <f>IF($C21=0,"",SUMIFS(INPUT_DATA!AV:AV,INPUT_DATA!$A:$A,$C21,INPUT_DATA!$C:$C,"S"))</f>
        <v>87199.01</v>
      </c>
      <c r="G21" s="761">
        <f>IF($C21=0,"",SUMIFS(INPUT_DATA!AW:AW,INPUT_DATA!$A:$A,$C21,INPUT_DATA!$C:$C,"S"))</f>
        <v>1486537.02</v>
      </c>
      <c r="H21" s="763">
        <f t="shared" si="0"/>
        <v>6506357.1199999992</v>
      </c>
      <c r="I21" s="761">
        <f>IF($C21=0,"",SUMIFS(INPUT_DATA!AY:AY,INPUT_DATA!$A:$A,$C21,INPUT_DATA!$C:$C,"S"))</f>
        <v>886080.03</v>
      </c>
      <c r="J21" s="761">
        <f>IF($C21=0,"",SUMIFS(INPUT_DATA!AZ:AZ,INPUT_DATA!$A:$A,$C21,INPUT_DATA!$C:$C,"S"))</f>
        <v>9985.4699999999993</v>
      </c>
      <c r="K21" s="761">
        <f>IF($C21=0,"",SUMIFS(INPUT_DATA!BA:BA,INPUT_DATA!$A:$A,$C21,INPUT_DATA!$C:$C,"S"))</f>
        <v>108.96</v>
      </c>
      <c r="L21" s="761">
        <f>IF($C21=0,"",SUMIFS(INPUT_DATA!BB:BB,INPUT_DATA!$A:$A,$C21,INPUT_DATA!$C:$C,"S"))</f>
        <v>148.88</v>
      </c>
      <c r="M21" s="761">
        <f>IF($C21=0,"",SUMIFS(INPUT_DATA!BC:BC,INPUT_DATA!$A:$A,$C21,INPUT_DATA!$C:$C,"S"))</f>
        <v>0</v>
      </c>
      <c r="N21" s="761">
        <f>IF($C21=0,"",SUMIFS(INPUT_DATA!BD:BD,INPUT_DATA!$A:$A,$C21,INPUT_DATA!$C:$C,"S"))</f>
        <v>7187.84</v>
      </c>
      <c r="O21" s="761">
        <f>IF($C21=0,"",SUMIFS(INPUT_DATA!BE:BE,INPUT_DATA!$A:$A,$C21,INPUT_DATA!$C:$C,"S"))</f>
        <v>126.23</v>
      </c>
      <c r="P21" s="761">
        <f>IF($C21=0,"",SUMIFS(INPUT_DATA!BF:BF,INPUT_DATA!$A:$A,$C21,INPUT_DATA!$C:$C,"S"))</f>
        <v>0</v>
      </c>
      <c r="Q21" s="767">
        <f t="shared" si="5"/>
        <v>903637.40999999992</v>
      </c>
      <c r="R21" s="769">
        <f>IF($C21=0,"",SUMIFS(INPUT_DATA!BH:BH,INPUT_DATA!$A:$A,$C21,INPUT_DATA!$C:$C,"S"))</f>
        <v>0</v>
      </c>
      <c r="S21" s="769">
        <f>IF($C21=0,"",SUMIFS(INPUT_DATA!BI:BI,INPUT_DATA!$A:$A,$C21,INPUT_DATA!$C:$C,"S"))</f>
        <v>0</v>
      </c>
      <c r="T21" s="767">
        <f t="shared" si="6"/>
        <v>7409994.5299999993</v>
      </c>
      <c r="U21" s="772">
        <f>IF($C21=0,"",SUMIFS(INPUT_DATA!BL:BL,INPUT_DATA!$A:$A,$C21,INPUT_DATA!$C:$C,"S"))</f>
        <v>7409994.5300000003</v>
      </c>
      <c r="V21" s="155">
        <f t="shared" si="1"/>
        <v>-9.3132257461547852E-10</v>
      </c>
      <c r="W21" s="149"/>
      <c r="X21" s="749">
        <f>IF($C21=0,"",SUMIFS(INPUT_DATA!AU:AU,INPUT_DATA!$A:$A,$C21,INPUT_DATA!$C:$C,"D"))</f>
        <v>0</v>
      </c>
      <c r="Y21" s="761">
        <f>IF($C21=0,"",SUMIFS(INPUT_DATA!AV:AV,INPUT_DATA!$A:$A,$C21,INPUT_DATA!$C:$C,"D"))</f>
        <v>0</v>
      </c>
      <c r="Z21" s="761">
        <f>IF($C21=0,"",SUMIFS(INPUT_DATA!AW:AW,INPUT_DATA!$A:$A,$C21,INPUT_DATA!$C:$C,"D"))</f>
        <v>0</v>
      </c>
      <c r="AA21" s="762">
        <f t="shared" si="2"/>
        <v>0</v>
      </c>
      <c r="AB21" s="761">
        <f>IF($C21=0,"",SUMIFS(INPUT_DATA!AX:AX,INPUT_DATA!$A:$A,$C21,INPUT_DATA!$C:$C,"D"))</f>
        <v>0</v>
      </c>
      <c r="AC21" s="761">
        <f>IF($C21=0,"",SUMIFS(INPUT_DATA!AY:AY,INPUT_DATA!$A:$A,$C21,INPUT_DATA!$C:$C,"D"))</f>
        <v>0</v>
      </c>
      <c r="AD21" s="761">
        <f>IF($C21=0,"",SUMIFS(INPUT_DATA!AZ:AZ,INPUT_DATA!$A:$A,$C21,INPUT_DATA!$C:$C,"D"))</f>
        <v>0</v>
      </c>
      <c r="AE21" s="761">
        <f>IF($C21=0,"",SUMIFS(INPUT_DATA!BA:BA,INPUT_DATA!$A:$A,$C21,INPUT_DATA!$C:$C,"D"))</f>
        <v>0</v>
      </c>
      <c r="AF21" s="761">
        <f>IF($C21=0,"",SUMIFS(INPUT_DATA!BB:BB,INPUT_DATA!$A:$A,$C21,INPUT_DATA!$C:$C,"D"))</f>
        <v>0</v>
      </c>
      <c r="AG21" s="761">
        <f>IF($C21=0,"",SUMIFS(INPUT_DATA!BC:BC,INPUT_DATA!$A:$A,$C21,INPUT_DATA!$C:$C,"D"))</f>
        <v>0</v>
      </c>
      <c r="AH21" s="761">
        <f>IF($C21=0,"",SUMIFS(INPUT_DATA!BD:BD,INPUT_DATA!$A:$A,$C21,INPUT_DATA!$C:$C,"D"))</f>
        <v>0</v>
      </c>
      <c r="AI21" s="761">
        <f>IF($C21=0,"",SUMIFS(INPUT_DATA!BE:BE,INPUT_DATA!$A:$A,$C21,INPUT_DATA!$C:$C,"D"))</f>
        <v>0</v>
      </c>
      <c r="AJ21" s="314">
        <f t="shared" si="3"/>
        <v>0</v>
      </c>
      <c r="AK21" s="769">
        <f>IF($C21=0,"",SUMIFS(INPUT_DATA!BG:BG,INPUT_DATA!$A:$A,$C21,INPUT_DATA!$C:$C,"D"))</f>
        <v>0</v>
      </c>
      <c r="AL21" s="769">
        <f>IF($C21=0,"",SUMIFS(INPUT_DATA!BH:BH,INPUT_DATA!$A:$A,$C21,INPUT_DATA!$C:$C,"D"))</f>
        <v>0</v>
      </c>
      <c r="AM21" s="769">
        <f>IF($C21=0,"",SUMIFS(INPUT_DATA!BI:BI,INPUT_DATA!$A:$A,$C21,INPUT_DATA!$C:$C,"D"))</f>
        <v>0</v>
      </c>
      <c r="AN21" s="767">
        <f t="shared" si="7"/>
        <v>0</v>
      </c>
      <c r="AO21" s="772">
        <f>IF($C21=0,"",SUMIFS(INPUT_DATA!BK:BK,INPUT_DATA!$A:$A,$C21,INPUT_DATA!$C:$C,"D"))</f>
        <v>0</v>
      </c>
      <c r="AP21" s="354">
        <f t="shared" si="8"/>
        <v>0</v>
      </c>
      <c r="AQ21" s="149"/>
      <c r="AS21" s="354">
        <f t="shared" si="9"/>
        <v>7409994.5299999993</v>
      </c>
      <c r="AU21" s="378">
        <f>IF($C21=0,"",'03 - Monthly Asset Follow up'!E25+'03 - Monthly Asset Follow up'!F25-'03 - Monthly Asset Follow up'!U25+'03 - Monthly Asset Follow up'!X25-H21)</f>
        <v>9.3132257461547852E-10</v>
      </c>
      <c r="AV21" s="378">
        <f>IF($C21=0,"",'03 - Monthly Asset Follow up'!BD25+'03 - Monthly Asset Follow up'!BE25-'03 - Monthly Asset Follow up'!BT25+'03 - Monthly Asset Follow up'!BW25-AA21)</f>
        <v>0</v>
      </c>
      <c r="AX21" s="154"/>
    </row>
    <row r="22" spans="2:50" x14ac:dyDescent="0.2">
      <c r="B22" s="753">
        <f t="shared" si="4"/>
        <v>45261</v>
      </c>
      <c r="C22" s="756">
        <f>'03 - Monthly Asset Follow up'!B26</f>
        <v>45291</v>
      </c>
      <c r="D22" s="149"/>
      <c r="E22" s="749">
        <f>IF($C22=0,"",SUMIFS(INPUT_DATA!AU:AU,INPUT_DATA!$A:$A,$C22,INPUT_DATA!$C:$C,"S"))</f>
        <v>4911410.67</v>
      </c>
      <c r="F22" s="761">
        <f>IF($C22=0,"",SUMIFS(INPUT_DATA!AV:AV,INPUT_DATA!$A:$A,$C22,INPUT_DATA!$C:$C,"S"))</f>
        <v>60023.95</v>
      </c>
      <c r="G22" s="761">
        <f>IF($C22=0,"",SUMIFS(INPUT_DATA!AW:AW,INPUT_DATA!$A:$A,$C22,INPUT_DATA!$C:$C,"S"))</f>
        <v>616128.16</v>
      </c>
      <c r="H22" s="763">
        <f t="shared" si="0"/>
        <v>5587562.7800000003</v>
      </c>
      <c r="I22" s="761">
        <f>IF($C22=0,"",SUMIFS(INPUT_DATA!AY:AY,INPUT_DATA!$A:$A,$C22,INPUT_DATA!$C:$C,"S"))</f>
        <v>890581.77</v>
      </c>
      <c r="J22" s="761">
        <f>IF($C22=0,"",SUMIFS(INPUT_DATA!AZ:AZ,INPUT_DATA!$A:$A,$C22,INPUT_DATA!$C:$C,"S"))</f>
        <v>7913.99</v>
      </c>
      <c r="K22" s="761">
        <f>IF($C22=0,"",SUMIFS(INPUT_DATA!BA:BA,INPUT_DATA!$A:$A,$C22,INPUT_DATA!$C:$C,"S"))</f>
        <v>51.69</v>
      </c>
      <c r="L22" s="761">
        <f>IF($C22=0,"",SUMIFS(INPUT_DATA!BB:BB,INPUT_DATA!$A:$A,$C22,INPUT_DATA!$C:$C,"S"))</f>
        <v>73.59</v>
      </c>
      <c r="M22" s="761">
        <f>IF($C22=0,"",SUMIFS(INPUT_DATA!BC:BC,INPUT_DATA!$A:$A,$C22,INPUT_DATA!$C:$C,"S"))</f>
        <v>0</v>
      </c>
      <c r="N22" s="761">
        <f>IF($C22=0,"",SUMIFS(INPUT_DATA!BD:BD,INPUT_DATA!$A:$A,$C22,INPUT_DATA!$C:$C,"S"))</f>
        <v>3663.44</v>
      </c>
      <c r="O22" s="761">
        <f>IF($C22=0,"",SUMIFS(INPUT_DATA!BE:BE,INPUT_DATA!$A:$A,$C22,INPUT_DATA!$C:$C,"S"))</f>
        <v>206.23</v>
      </c>
      <c r="P22" s="761">
        <f>IF($C22=0,"",SUMIFS(INPUT_DATA!BF:BF,INPUT_DATA!$A:$A,$C22,INPUT_DATA!$C:$C,"S"))</f>
        <v>0</v>
      </c>
      <c r="Q22" s="767">
        <f t="shared" si="5"/>
        <v>902490.70999999985</v>
      </c>
      <c r="R22" s="769">
        <f>IF($C22=0,"",SUMIFS(INPUT_DATA!BH:BH,INPUT_DATA!$A:$A,$C22,INPUT_DATA!$C:$C,"S"))</f>
        <v>0</v>
      </c>
      <c r="S22" s="769">
        <f>IF($C22=0,"",SUMIFS(INPUT_DATA!BI:BI,INPUT_DATA!$A:$A,$C22,INPUT_DATA!$C:$C,"S"))</f>
        <v>0</v>
      </c>
      <c r="T22" s="767">
        <f t="shared" si="6"/>
        <v>6490053.4900000002</v>
      </c>
      <c r="U22" s="772">
        <f>IF($C22=0,"",SUMIFS(INPUT_DATA!BL:BL,INPUT_DATA!$A:$A,$C22,INPUT_DATA!$C:$C,"S"))</f>
        <v>6490053.4900000002</v>
      </c>
      <c r="V22" s="155">
        <f t="shared" si="1"/>
        <v>0</v>
      </c>
      <c r="W22" s="149"/>
      <c r="X22" s="749">
        <f>IF($C22=0,"",SUMIFS(INPUT_DATA!AU:AU,INPUT_DATA!$A:$A,$C22,INPUT_DATA!$C:$C,"D"))</f>
        <v>0</v>
      </c>
      <c r="Y22" s="761">
        <f>IF($C22=0,"",SUMIFS(INPUT_DATA!AV:AV,INPUT_DATA!$A:$A,$C22,INPUT_DATA!$C:$C,"D"))</f>
        <v>0</v>
      </c>
      <c r="Z22" s="761">
        <f>IF($C22=0,"",SUMIFS(INPUT_DATA!AW:AW,INPUT_DATA!$A:$A,$C22,INPUT_DATA!$C:$C,"D"))</f>
        <v>0</v>
      </c>
      <c r="AA22" s="762">
        <f t="shared" si="2"/>
        <v>0</v>
      </c>
      <c r="AB22" s="761">
        <f>IF($C22=0,"",SUMIFS(INPUT_DATA!AX:AX,INPUT_DATA!$A:$A,$C22,INPUT_DATA!$C:$C,"D"))</f>
        <v>0</v>
      </c>
      <c r="AC22" s="761">
        <f>IF($C22=0,"",SUMIFS(INPUT_DATA!AY:AY,INPUT_DATA!$A:$A,$C22,INPUT_DATA!$C:$C,"D"))</f>
        <v>0</v>
      </c>
      <c r="AD22" s="761">
        <f>IF($C22=0,"",SUMIFS(INPUT_DATA!AZ:AZ,INPUT_DATA!$A:$A,$C22,INPUT_DATA!$C:$C,"D"))</f>
        <v>0</v>
      </c>
      <c r="AE22" s="761">
        <f>IF($C22=0,"",SUMIFS(INPUT_DATA!BA:BA,INPUT_DATA!$A:$A,$C22,INPUT_DATA!$C:$C,"D"))</f>
        <v>0</v>
      </c>
      <c r="AF22" s="761">
        <f>IF($C22=0,"",SUMIFS(INPUT_DATA!BB:BB,INPUT_DATA!$A:$A,$C22,INPUT_DATA!$C:$C,"D"))</f>
        <v>0</v>
      </c>
      <c r="AG22" s="761">
        <f>IF($C22=0,"",SUMIFS(INPUT_DATA!BC:BC,INPUT_DATA!$A:$A,$C22,INPUT_DATA!$C:$C,"D"))</f>
        <v>0</v>
      </c>
      <c r="AH22" s="761">
        <f>IF($C22=0,"",SUMIFS(INPUT_DATA!BD:BD,INPUT_DATA!$A:$A,$C22,INPUT_DATA!$C:$C,"D"))</f>
        <v>0</v>
      </c>
      <c r="AI22" s="761">
        <f>IF($C22=0,"",SUMIFS(INPUT_DATA!BE:BE,INPUT_DATA!$A:$A,$C22,INPUT_DATA!$C:$C,"D"))</f>
        <v>0</v>
      </c>
      <c r="AJ22" s="314">
        <f t="shared" si="3"/>
        <v>0</v>
      </c>
      <c r="AK22" s="769">
        <f>IF($C22=0,"",SUMIFS(INPUT_DATA!BG:BG,INPUT_DATA!$A:$A,$C22,INPUT_DATA!$C:$C,"D"))</f>
        <v>0</v>
      </c>
      <c r="AL22" s="769">
        <f>IF($C22=0,"",SUMIFS(INPUT_DATA!BH:BH,INPUT_DATA!$A:$A,$C22,INPUT_DATA!$C:$C,"D"))</f>
        <v>0</v>
      </c>
      <c r="AM22" s="769">
        <f>IF($C22=0,"",SUMIFS(INPUT_DATA!BI:BI,INPUT_DATA!$A:$A,$C22,INPUT_DATA!$C:$C,"D"))</f>
        <v>0</v>
      </c>
      <c r="AN22" s="767">
        <f t="shared" si="7"/>
        <v>0</v>
      </c>
      <c r="AO22" s="772">
        <f>IF($C22=0,"",SUMIFS(INPUT_DATA!BK:BK,INPUT_DATA!$A:$A,$C22,INPUT_DATA!$C:$C,"D"))</f>
        <v>0</v>
      </c>
      <c r="AP22" s="354">
        <f t="shared" si="8"/>
        <v>0</v>
      </c>
      <c r="AQ22" s="149"/>
      <c r="AS22" s="354">
        <f t="shared" si="9"/>
        <v>6490053.4900000002</v>
      </c>
      <c r="AU22" s="378">
        <f>IF($C22=0,"",'03 - Monthly Asset Follow up'!E26+'03 - Monthly Asset Follow up'!F26-'03 - Monthly Asset Follow up'!U26+'03 - Monthly Asset Follow up'!X26-H22)</f>
        <v>0</v>
      </c>
      <c r="AV22" s="378">
        <f>IF($C22=0,"",'03 - Monthly Asset Follow up'!BD26+'03 - Monthly Asset Follow up'!BE26-'03 - Monthly Asset Follow up'!BT26+'03 - Monthly Asset Follow up'!BW26-AA22)</f>
        <v>0</v>
      </c>
      <c r="AX22" s="154"/>
    </row>
    <row r="23" spans="2:50" x14ac:dyDescent="0.2">
      <c r="B23" s="753">
        <f t="shared" si="4"/>
        <v>45231</v>
      </c>
      <c r="C23" s="756">
        <f>'03 - Monthly Asset Follow up'!B27</f>
        <v>45260</v>
      </c>
      <c r="D23" s="149"/>
      <c r="E23" s="749">
        <f>IF($C23=0,"",SUMIFS(INPUT_DATA!AU:AU,INPUT_DATA!$A:$A,$C23,INPUT_DATA!$C:$C,"S"))</f>
        <v>4933388.99</v>
      </c>
      <c r="F23" s="761">
        <f>IF($C23=0,"",SUMIFS(INPUT_DATA!AV:AV,INPUT_DATA!$A:$A,$C23,INPUT_DATA!$C:$C,"S"))</f>
        <v>0</v>
      </c>
      <c r="G23" s="761">
        <f>IF($C23=0,"",SUMIFS(INPUT_DATA!AW:AW,INPUT_DATA!$A:$A,$C23,INPUT_DATA!$C:$C,"S"))</f>
        <v>1285255.6299999999</v>
      </c>
      <c r="H23" s="763">
        <f t="shared" si="0"/>
        <v>6218644.6200000001</v>
      </c>
      <c r="I23" s="761">
        <f>IF($C23=0,"",SUMIFS(INPUT_DATA!AY:AY,INPUT_DATA!$A:$A,$C23,INPUT_DATA!$C:$C,"S"))</f>
        <v>893922.74</v>
      </c>
      <c r="J23" s="761">
        <f>IF($C23=0,"",SUMIFS(INPUT_DATA!AZ:AZ,INPUT_DATA!$A:$A,$C23,INPUT_DATA!$C:$C,"S"))</f>
        <v>0</v>
      </c>
      <c r="K23" s="761">
        <f>IF($C23=0,"",SUMIFS(INPUT_DATA!BA:BA,INPUT_DATA!$A:$A,$C23,INPUT_DATA!$C:$C,"S"))</f>
        <v>0</v>
      </c>
      <c r="L23" s="761">
        <f>IF($C23=0,"",SUMIFS(INPUT_DATA!BB:BB,INPUT_DATA!$A:$A,$C23,INPUT_DATA!$C:$C,"S"))</f>
        <v>0</v>
      </c>
      <c r="M23" s="761">
        <f>IF($C23=0,"",SUMIFS(INPUT_DATA!BC:BC,INPUT_DATA!$A:$A,$C23,INPUT_DATA!$C:$C,"S"))</f>
        <v>0</v>
      </c>
      <c r="N23" s="761">
        <f>IF($C23=0,"",SUMIFS(INPUT_DATA!BD:BD,INPUT_DATA!$A:$A,$C23,INPUT_DATA!$C:$C,"S"))</f>
        <v>8208.68</v>
      </c>
      <c r="O23" s="761">
        <f>IF($C23=0,"",SUMIFS(INPUT_DATA!BE:BE,INPUT_DATA!$A:$A,$C23,INPUT_DATA!$C:$C,"S"))</f>
        <v>349.35</v>
      </c>
      <c r="P23" s="761">
        <f>IF($C23=0,"",SUMIFS(INPUT_DATA!BF:BF,INPUT_DATA!$A:$A,$C23,INPUT_DATA!$C:$C,"S"))</f>
        <v>0</v>
      </c>
      <c r="Q23" s="767">
        <f t="shared" si="5"/>
        <v>902480.77</v>
      </c>
      <c r="R23" s="769">
        <f>IF($C23=0,"",SUMIFS(INPUT_DATA!BH:BH,INPUT_DATA!$A:$A,$C23,INPUT_DATA!$C:$C,"S"))</f>
        <v>0</v>
      </c>
      <c r="S23" s="769">
        <f>IF($C23=0,"",SUMIFS(INPUT_DATA!BI:BI,INPUT_DATA!$A:$A,$C23,INPUT_DATA!$C:$C,"S"))</f>
        <v>0</v>
      </c>
      <c r="T23" s="767">
        <f t="shared" si="6"/>
        <v>7121125.3900000006</v>
      </c>
      <c r="U23" s="772">
        <f>IF($C23=0,"",SUMIFS(INPUT_DATA!BL:BL,INPUT_DATA!$A:$A,$C23,INPUT_DATA!$C:$C,"S"))</f>
        <v>7121125.3899999997</v>
      </c>
      <c r="V23" s="155">
        <f t="shared" si="1"/>
        <v>9.3132257461547852E-10</v>
      </c>
      <c r="W23" s="149"/>
      <c r="X23" s="749">
        <f>IF($C23=0,"",SUMIFS(INPUT_DATA!AU:AU,INPUT_DATA!$A:$A,$C23,INPUT_DATA!$C:$C,"D"))</f>
        <v>0</v>
      </c>
      <c r="Y23" s="761">
        <f>IF($C23=0,"",SUMIFS(INPUT_DATA!AV:AV,INPUT_DATA!$A:$A,$C23,INPUT_DATA!$C:$C,"D"))</f>
        <v>0</v>
      </c>
      <c r="Z23" s="761">
        <f>IF($C23=0,"",SUMIFS(INPUT_DATA!AW:AW,INPUT_DATA!$A:$A,$C23,INPUT_DATA!$C:$C,"D"))</f>
        <v>0</v>
      </c>
      <c r="AA23" s="762">
        <f t="shared" si="2"/>
        <v>0</v>
      </c>
      <c r="AB23" s="761">
        <f>IF($C23=0,"",SUMIFS(INPUT_DATA!AX:AX,INPUT_DATA!$A:$A,$C23,INPUT_DATA!$C:$C,"D"))</f>
        <v>0</v>
      </c>
      <c r="AC23" s="761">
        <f>IF($C23=0,"",SUMIFS(INPUT_DATA!AY:AY,INPUT_DATA!$A:$A,$C23,INPUT_DATA!$C:$C,"D"))</f>
        <v>0</v>
      </c>
      <c r="AD23" s="761">
        <f>IF($C23=0,"",SUMIFS(INPUT_DATA!AZ:AZ,INPUT_DATA!$A:$A,$C23,INPUT_DATA!$C:$C,"D"))</f>
        <v>0</v>
      </c>
      <c r="AE23" s="761">
        <f>IF($C23=0,"",SUMIFS(INPUT_DATA!BA:BA,INPUT_DATA!$A:$A,$C23,INPUT_DATA!$C:$C,"D"))</f>
        <v>0</v>
      </c>
      <c r="AF23" s="761">
        <f>IF($C23=0,"",SUMIFS(INPUT_DATA!BB:BB,INPUT_DATA!$A:$A,$C23,INPUT_DATA!$C:$C,"D"))</f>
        <v>0</v>
      </c>
      <c r="AG23" s="761">
        <f>IF($C23=0,"",SUMIFS(INPUT_DATA!BC:BC,INPUT_DATA!$A:$A,$C23,INPUT_DATA!$C:$C,"D"))</f>
        <v>0</v>
      </c>
      <c r="AH23" s="761">
        <f>IF($C23=0,"",SUMIFS(INPUT_DATA!BD:BD,INPUT_DATA!$A:$A,$C23,INPUT_DATA!$C:$C,"D"))</f>
        <v>0</v>
      </c>
      <c r="AI23" s="761">
        <f>IF($C23=0,"",SUMIFS(INPUT_DATA!BE:BE,INPUT_DATA!$A:$A,$C23,INPUT_DATA!$C:$C,"D"))</f>
        <v>0</v>
      </c>
      <c r="AJ23" s="314">
        <f t="shared" si="3"/>
        <v>0</v>
      </c>
      <c r="AK23" s="769">
        <f>IF($C23=0,"",SUMIFS(INPUT_DATA!BG:BG,INPUT_DATA!$A:$A,$C23,INPUT_DATA!$C:$C,"D"))</f>
        <v>0</v>
      </c>
      <c r="AL23" s="769">
        <f>IF($C23=0,"",SUMIFS(INPUT_DATA!BH:BH,INPUT_DATA!$A:$A,$C23,INPUT_DATA!$C:$C,"D"))</f>
        <v>0</v>
      </c>
      <c r="AM23" s="769">
        <f>IF($C23=0,"",SUMIFS(INPUT_DATA!BI:BI,INPUT_DATA!$A:$A,$C23,INPUT_DATA!$C:$C,"D"))</f>
        <v>0</v>
      </c>
      <c r="AN23" s="767">
        <f t="shared" si="7"/>
        <v>0</v>
      </c>
      <c r="AO23" s="772">
        <f>IF($C23=0,"",SUMIFS(INPUT_DATA!BK:BK,INPUT_DATA!$A:$A,$C23,INPUT_DATA!$C:$C,"D"))</f>
        <v>0</v>
      </c>
      <c r="AP23" s="354">
        <f t="shared" si="8"/>
        <v>0</v>
      </c>
      <c r="AQ23" s="149"/>
      <c r="AS23" s="354">
        <f t="shared" si="9"/>
        <v>7121125.3900000006</v>
      </c>
      <c r="AU23" s="378">
        <f>IF($C23=0,"",'03 - Monthly Asset Follow up'!E27+'03 - Monthly Asset Follow up'!F27-'03 - Monthly Asset Follow up'!U27+'03 - Monthly Asset Follow up'!X27-H23)</f>
        <v>0</v>
      </c>
      <c r="AV23" s="378">
        <f>IF($C23=0,"",'03 - Monthly Asset Follow up'!BD27+'03 - Monthly Asset Follow up'!BE27-'03 - Monthly Asset Follow up'!BT27+'03 - Monthly Asset Follow up'!BW27-AA23)</f>
        <v>0</v>
      </c>
      <c r="AX23" s="154"/>
    </row>
    <row r="24" spans="2:50" x14ac:dyDescent="0.2">
      <c r="B24" s="753" t="str">
        <f t="shared" si="4"/>
        <v/>
      </c>
      <c r="C24" s="756">
        <f>'03 - Monthly Asset Follow up'!B28</f>
        <v>45230</v>
      </c>
      <c r="D24" s="149"/>
      <c r="E24" s="749">
        <f>IF($C24=0,"",SUMIFS(INPUT_DATA!AU:AU,INPUT_DATA!$A:$A,$C24,INPUT_DATA!$C:$C,"S"))</f>
        <v>0</v>
      </c>
      <c r="F24" s="761">
        <f>IF($C24=0,"",SUMIFS(INPUT_DATA!AV:AV,INPUT_DATA!$A:$A,$C24,INPUT_DATA!$C:$C,"S"))</f>
        <v>0</v>
      </c>
      <c r="G24" s="761">
        <f>IF($C24=0,"",SUMIFS(INPUT_DATA!AW:AW,INPUT_DATA!$A:$A,$C24,INPUT_DATA!$C:$C,"S"))</f>
        <v>0</v>
      </c>
      <c r="H24" s="763">
        <f t="shared" si="0"/>
        <v>0</v>
      </c>
      <c r="I24" s="761">
        <f>IF($C24=0,"",SUMIFS(INPUT_DATA!AY:AY,INPUT_DATA!$A:$A,$C24,INPUT_DATA!$C:$C,"S"))</f>
        <v>0</v>
      </c>
      <c r="J24" s="761">
        <f>IF($C24=0,"",SUMIFS(INPUT_DATA!AZ:AZ,INPUT_DATA!$A:$A,$C24,INPUT_DATA!$C:$C,"S"))</f>
        <v>0</v>
      </c>
      <c r="K24" s="761">
        <f>IF($C24=0,"",SUMIFS(INPUT_DATA!BA:BA,INPUT_DATA!$A:$A,$C24,INPUT_DATA!$C:$C,"S"))</f>
        <v>0</v>
      </c>
      <c r="L24" s="761">
        <f>IF($C24=0,"",SUMIFS(INPUT_DATA!BB:BB,INPUT_DATA!$A:$A,$C24,INPUT_DATA!$C:$C,"S"))</f>
        <v>0</v>
      </c>
      <c r="M24" s="761">
        <f>IF($C24=0,"",SUMIFS(INPUT_DATA!BC:BC,INPUT_DATA!$A:$A,$C24,INPUT_DATA!$C:$C,"S"))</f>
        <v>0</v>
      </c>
      <c r="N24" s="761">
        <f>IF($C24=0,"",SUMIFS(INPUT_DATA!BD:BD,INPUT_DATA!$A:$A,$C24,INPUT_DATA!$C:$C,"S"))</f>
        <v>0</v>
      </c>
      <c r="O24" s="761">
        <f>IF($C24=0,"",SUMIFS(INPUT_DATA!BE:BE,INPUT_DATA!$A:$A,$C24,INPUT_DATA!$C:$C,"S"))</f>
        <v>0</v>
      </c>
      <c r="P24" s="761">
        <f>IF($C24=0,"",SUMIFS(INPUT_DATA!BF:BF,INPUT_DATA!$A:$A,$C24,INPUT_DATA!$C:$C,"S"))</f>
        <v>0</v>
      </c>
      <c r="Q24" s="767">
        <f t="shared" si="5"/>
        <v>0</v>
      </c>
      <c r="R24" s="769">
        <f>IF($C24=0,"",SUMIFS(INPUT_DATA!BH:BH,INPUT_DATA!$A:$A,$C24,INPUT_DATA!$C:$C,"S"))</f>
        <v>0</v>
      </c>
      <c r="S24" s="769">
        <f>IF($C24=0,"",SUMIFS(INPUT_DATA!BI:BI,INPUT_DATA!$A:$A,$C24,INPUT_DATA!$C:$C,"S"))</f>
        <v>0</v>
      </c>
      <c r="T24" s="767">
        <f t="shared" si="6"/>
        <v>0</v>
      </c>
      <c r="U24" s="772">
        <f>IF($C24=0,"",SUMIFS(INPUT_DATA!BL:BL,INPUT_DATA!$A:$A,$C24,INPUT_DATA!$C:$C,"S"))</f>
        <v>0</v>
      </c>
      <c r="V24" s="155">
        <f t="shared" si="1"/>
        <v>0</v>
      </c>
      <c r="W24" s="149"/>
      <c r="X24" s="749">
        <f>IF($C24=0,"",SUMIFS(INPUT_DATA!AU:AU,INPUT_DATA!$A:$A,$C24,INPUT_DATA!$C:$C,"D"))</f>
        <v>0</v>
      </c>
      <c r="Y24" s="761">
        <f>IF($C24=0,"",SUMIFS(INPUT_DATA!AV:AV,INPUT_DATA!$A:$A,$C24,INPUT_DATA!$C:$C,"D"))</f>
        <v>0</v>
      </c>
      <c r="Z24" s="761">
        <f>IF($C24=0,"",SUMIFS(INPUT_DATA!AW:AW,INPUT_DATA!$A:$A,$C24,INPUT_DATA!$C:$C,"D"))</f>
        <v>0</v>
      </c>
      <c r="AA24" s="762">
        <f t="shared" si="2"/>
        <v>0</v>
      </c>
      <c r="AB24" s="761">
        <f>IF($C24=0,"",SUMIFS(INPUT_DATA!AX:AX,INPUT_DATA!$A:$A,$C24,INPUT_DATA!$C:$C,"D"))</f>
        <v>0</v>
      </c>
      <c r="AC24" s="761">
        <f>IF($C24=0,"",SUMIFS(INPUT_DATA!AY:AY,INPUT_DATA!$A:$A,$C24,INPUT_DATA!$C:$C,"D"))</f>
        <v>0</v>
      </c>
      <c r="AD24" s="761">
        <f>IF($C24=0,"",SUMIFS(INPUT_DATA!AZ:AZ,INPUT_DATA!$A:$A,$C24,INPUT_DATA!$C:$C,"D"))</f>
        <v>0</v>
      </c>
      <c r="AE24" s="761">
        <f>IF($C24=0,"",SUMIFS(INPUT_DATA!BA:BA,INPUT_DATA!$A:$A,$C24,INPUT_DATA!$C:$C,"D"))</f>
        <v>0</v>
      </c>
      <c r="AF24" s="761">
        <f>IF($C24=0,"",SUMIFS(INPUT_DATA!BB:BB,INPUT_DATA!$A:$A,$C24,INPUT_DATA!$C:$C,"D"))</f>
        <v>0</v>
      </c>
      <c r="AG24" s="761">
        <f>IF($C24=0,"",SUMIFS(INPUT_DATA!BC:BC,INPUT_DATA!$A:$A,$C24,INPUT_DATA!$C:$C,"D"))</f>
        <v>0</v>
      </c>
      <c r="AH24" s="761">
        <f>IF($C24=0,"",SUMIFS(INPUT_DATA!BD:BD,INPUT_DATA!$A:$A,$C24,INPUT_DATA!$C:$C,"D"))</f>
        <v>0</v>
      </c>
      <c r="AI24" s="761">
        <f>IF($C24=0,"",SUMIFS(INPUT_DATA!BE:BE,INPUT_DATA!$A:$A,$C24,INPUT_DATA!$C:$C,"D"))</f>
        <v>0</v>
      </c>
      <c r="AJ24" s="314">
        <f t="shared" si="3"/>
        <v>0</v>
      </c>
      <c r="AK24" s="769">
        <f>IF($C24=0,"",SUMIFS(INPUT_DATA!BG:BG,INPUT_DATA!$A:$A,$C24,INPUT_DATA!$C:$C,"D"))</f>
        <v>0</v>
      </c>
      <c r="AL24" s="769">
        <f>IF($C24=0,"",SUMIFS(INPUT_DATA!BH:BH,INPUT_DATA!$A:$A,$C24,INPUT_DATA!$C:$C,"D"))</f>
        <v>0</v>
      </c>
      <c r="AM24" s="769">
        <f>IF($C24=0,"",SUMIFS(INPUT_DATA!BI:BI,INPUT_DATA!$A:$A,$C24,INPUT_DATA!$C:$C,"D"))</f>
        <v>0</v>
      </c>
      <c r="AN24" s="767">
        <f t="shared" si="7"/>
        <v>0</v>
      </c>
      <c r="AO24" s="772">
        <f>IF($C24=0,"",SUMIFS(INPUT_DATA!BK:BK,INPUT_DATA!$A:$A,$C24,INPUT_DATA!$C:$C,"D"))</f>
        <v>0</v>
      </c>
      <c r="AP24" s="354">
        <f t="shared" si="8"/>
        <v>0</v>
      </c>
      <c r="AQ24" s="149"/>
      <c r="AS24" s="354">
        <f t="shared" si="9"/>
        <v>0</v>
      </c>
      <c r="AU24" s="378">
        <f>IF($C24=0,"",'03 - Monthly Asset Follow up'!E28+'03 - Monthly Asset Follow up'!F28-'03 - Monthly Asset Follow up'!U28+'03 - Monthly Asset Follow up'!X28-H24)</f>
        <v>0</v>
      </c>
      <c r="AV24" s="378">
        <f>IF($C24=0,"",'03 - Monthly Asset Follow up'!BD28+'03 - Monthly Asset Follow up'!BE28-'03 - Monthly Asset Follow up'!BT28+'03 - Monthly Asset Follow up'!BW28-AA24)</f>
        <v>0</v>
      </c>
      <c r="AX24" s="154"/>
    </row>
    <row r="25" spans="2:50" x14ac:dyDescent="0.2">
      <c r="B25" s="753" t="str">
        <f t="shared" si="4"/>
        <v/>
      </c>
      <c r="C25" s="756">
        <f>'03 - Monthly Asset Follow up'!B29</f>
        <v>0</v>
      </c>
      <c r="D25" s="149"/>
      <c r="E25" s="749" t="str">
        <f>IF($C25=0,"",SUMIFS(INPUT_DATA!AU:AU,INPUT_DATA!$A:$A,$C25,INPUT_DATA!$C:$C,"S"))</f>
        <v/>
      </c>
      <c r="F25" s="761" t="str">
        <f>IF($C25=0,"",SUMIFS(INPUT_DATA!AV:AV,INPUT_DATA!$A:$A,$C25,INPUT_DATA!$C:$C,"S"))</f>
        <v/>
      </c>
      <c r="G25" s="761" t="str">
        <f>IF($C25=0,"",SUMIFS(INPUT_DATA!AW:AW,INPUT_DATA!$A:$A,$C25,INPUT_DATA!$C:$C,"S"))</f>
        <v/>
      </c>
      <c r="H25" s="763" t="str">
        <f t="shared" si="0"/>
        <v/>
      </c>
      <c r="I25" s="761" t="str">
        <f>IF($C25=0,"",SUMIFS(INPUT_DATA!AY:AY,INPUT_DATA!$A:$A,$C25,INPUT_DATA!$C:$C,"S"))</f>
        <v/>
      </c>
      <c r="J25" s="761" t="str">
        <f>IF($C25=0,"",SUMIFS(INPUT_DATA!AZ:AZ,INPUT_DATA!$A:$A,$C25,INPUT_DATA!$C:$C,"S"))</f>
        <v/>
      </c>
      <c r="K25" s="761" t="str">
        <f>IF($C25=0,"",SUMIFS(INPUT_DATA!BA:BA,INPUT_DATA!$A:$A,$C25,INPUT_DATA!$C:$C,"S"))</f>
        <v/>
      </c>
      <c r="L25" s="761" t="str">
        <f>IF($C25=0,"",SUMIFS(INPUT_DATA!BB:BB,INPUT_DATA!$A:$A,$C25,INPUT_DATA!$C:$C,"S"))</f>
        <v/>
      </c>
      <c r="M25" s="761" t="str">
        <f>IF($C25=0,"",SUMIFS(INPUT_DATA!BC:BC,INPUT_DATA!$A:$A,$C25,INPUT_DATA!$C:$C,"S"))</f>
        <v/>
      </c>
      <c r="N25" s="761" t="str">
        <f>IF($C25=0,"",SUMIFS(INPUT_DATA!BD:BD,INPUT_DATA!$A:$A,$C25,INPUT_DATA!$C:$C,"S"))</f>
        <v/>
      </c>
      <c r="O25" s="761" t="str">
        <f>IF($C25=0,"",SUMIFS(INPUT_DATA!BE:BE,INPUT_DATA!$A:$A,$C25,INPUT_DATA!$C:$C,"S"))</f>
        <v/>
      </c>
      <c r="P25" s="761" t="str">
        <f>IF($C25=0,"",SUMIFS(INPUT_DATA!BF:BF,INPUT_DATA!$A:$A,$C25,INPUT_DATA!$C:$C,"S"))</f>
        <v/>
      </c>
      <c r="Q25" s="767" t="str">
        <f t="shared" si="5"/>
        <v/>
      </c>
      <c r="R25" s="769" t="str">
        <f>IF($C25=0,"",SUMIFS(INPUT_DATA!BH:BH,INPUT_DATA!$A:$A,$C25,INPUT_DATA!$C:$C,"S"))</f>
        <v/>
      </c>
      <c r="S25" s="769" t="str">
        <f>IF($C25=0,"",SUMIFS(INPUT_DATA!BI:BI,INPUT_DATA!$A:$A,$C25,INPUT_DATA!$C:$C,"S"))</f>
        <v/>
      </c>
      <c r="T25" s="767" t="str">
        <f t="shared" si="6"/>
        <v/>
      </c>
      <c r="U25" s="772" t="str">
        <f>IF($C25=0,"",SUMIFS(INPUT_DATA!BL:BL,INPUT_DATA!$A:$A,$C25,INPUT_DATA!$C:$C,"S"))</f>
        <v/>
      </c>
      <c r="V25" s="155" t="str">
        <f t="shared" si="1"/>
        <v/>
      </c>
      <c r="W25" s="149"/>
      <c r="X25" s="749" t="str">
        <f>IF($C25=0,"",SUMIFS(INPUT_DATA!AU:AU,INPUT_DATA!$A:$A,$C25,INPUT_DATA!$C:$C,"D"))</f>
        <v/>
      </c>
      <c r="Y25" s="761" t="str">
        <f>IF($C25=0,"",SUMIFS(INPUT_DATA!AV:AV,INPUT_DATA!$A:$A,$C25,INPUT_DATA!$C:$C,"D"))</f>
        <v/>
      </c>
      <c r="Z25" s="761" t="str">
        <f>IF($C25=0,"",SUMIFS(INPUT_DATA!AW:AW,INPUT_DATA!$A:$A,$C25,INPUT_DATA!$C:$C,"D"))</f>
        <v/>
      </c>
      <c r="AA25" s="762" t="str">
        <f t="shared" si="2"/>
        <v/>
      </c>
      <c r="AB25" s="761" t="str">
        <f>IF($C25=0,"",SUMIFS(INPUT_DATA!AX:AX,INPUT_DATA!$A:$A,$C25,INPUT_DATA!$C:$C,"D"))</f>
        <v/>
      </c>
      <c r="AC25" s="761" t="str">
        <f>IF($C25=0,"",SUMIFS(INPUT_DATA!AY:AY,INPUT_DATA!$A:$A,$C25,INPUT_DATA!$C:$C,"D"))</f>
        <v/>
      </c>
      <c r="AD25" s="761" t="str">
        <f>IF($C25=0,"",SUMIFS(INPUT_DATA!AZ:AZ,INPUT_DATA!$A:$A,$C25,INPUT_DATA!$C:$C,"D"))</f>
        <v/>
      </c>
      <c r="AE25" s="761" t="str">
        <f>IF($C25=0,"",SUMIFS(INPUT_DATA!BA:BA,INPUT_DATA!$A:$A,$C25,INPUT_DATA!$C:$C,"D"))</f>
        <v/>
      </c>
      <c r="AF25" s="761" t="str">
        <f>IF($C25=0,"",SUMIFS(INPUT_DATA!BB:BB,INPUT_DATA!$A:$A,$C25,INPUT_DATA!$C:$C,"D"))</f>
        <v/>
      </c>
      <c r="AG25" s="761" t="str">
        <f>IF($C25=0,"",SUMIFS(INPUT_DATA!BC:BC,INPUT_DATA!$A:$A,$C25,INPUT_DATA!$C:$C,"D"))</f>
        <v/>
      </c>
      <c r="AH25" s="761" t="str">
        <f>IF($C25=0,"",SUMIFS(INPUT_DATA!BD:BD,INPUT_DATA!$A:$A,$C25,INPUT_DATA!$C:$C,"D"))</f>
        <v/>
      </c>
      <c r="AI25" s="761" t="str">
        <f>IF($C25=0,"",SUMIFS(INPUT_DATA!BE:BE,INPUT_DATA!$A:$A,$C25,INPUT_DATA!$C:$C,"D"))</f>
        <v/>
      </c>
      <c r="AJ25" s="314" t="str">
        <f t="shared" si="3"/>
        <v/>
      </c>
      <c r="AK25" s="769" t="str">
        <f>IF($C25=0,"",SUMIFS(INPUT_DATA!BG:BG,INPUT_DATA!$A:$A,$C25,INPUT_DATA!$C:$C,"D"))</f>
        <v/>
      </c>
      <c r="AL25" s="769" t="str">
        <f>IF($C25=0,"",SUMIFS(INPUT_DATA!BH:BH,INPUT_DATA!$A:$A,$C25,INPUT_DATA!$C:$C,"D"))</f>
        <v/>
      </c>
      <c r="AM25" s="769" t="str">
        <f>IF($C25=0,"",SUMIFS(INPUT_DATA!BI:BI,INPUT_DATA!$A:$A,$C25,INPUT_DATA!$C:$C,"D"))</f>
        <v/>
      </c>
      <c r="AN25" s="767" t="str">
        <f t="shared" si="7"/>
        <v/>
      </c>
      <c r="AO25" s="772" t="str">
        <f>IF($C25=0,"",SUMIFS(INPUT_DATA!BK:BK,INPUT_DATA!$A:$A,$C25,INPUT_DATA!$C:$C,"D"))</f>
        <v/>
      </c>
      <c r="AP25" s="354" t="str">
        <f t="shared" si="8"/>
        <v/>
      </c>
      <c r="AQ25" s="149"/>
      <c r="AS25" s="354" t="str">
        <f t="shared" si="9"/>
        <v/>
      </c>
      <c r="AU25" s="378" t="str">
        <f>IF($C25=0,"",'03 - Monthly Asset Follow up'!E29+'03 - Monthly Asset Follow up'!F29-'03 - Monthly Asset Follow up'!U29+'03 - Monthly Asset Follow up'!X29-H25)</f>
        <v/>
      </c>
      <c r="AV25" s="378" t="str">
        <f>IF($C25=0,"",'03 - Monthly Asset Follow up'!BD29+'03 - Monthly Asset Follow up'!BE29-'03 - Monthly Asset Follow up'!BT29+'03 - Monthly Asset Follow up'!BW29-AA25)</f>
        <v/>
      </c>
      <c r="AX25" s="154"/>
    </row>
    <row r="26" spans="2:50" x14ac:dyDescent="0.2">
      <c r="B26" s="753" t="str">
        <f t="shared" si="4"/>
        <v/>
      </c>
      <c r="C26" s="756">
        <f>'03 - Monthly Asset Follow up'!B30</f>
        <v>0</v>
      </c>
      <c r="D26" s="149"/>
      <c r="E26" s="749" t="str">
        <f>IF($C26=0,"",SUMIFS(INPUT_DATA!AU:AU,INPUT_DATA!$A:$A,$C26,INPUT_DATA!$C:$C,"S"))</f>
        <v/>
      </c>
      <c r="F26" s="761" t="str">
        <f>IF($C26=0,"",SUMIFS(INPUT_DATA!AV:AV,INPUT_DATA!$A:$A,$C26,INPUT_DATA!$C:$C,"S"))</f>
        <v/>
      </c>
      <c r="G26" s="761" t="str">
        <f>IF($C26=0,"",SUMIFS(INPUT_DATA!AW:AW,INPUT_DATA!$A:$A,$C26,INPUT_DATA!$C:$C,"S"))</f>
        <v/>
      </c>
      <c r="H26" s="763" t="str">
        <f t="shared" si="0"/>
        <v/>
      </c>
      <c r="I26" s="761" t="str">
        <f>IF($C26=0,"",SUMIFS(INPUT_DATA!AY:AY,INPUT_DATA!$A:$A,$C26,INPUT_DATA!$C:$C,"S"))</f>
        <v/>
      </c>
      <c r="J26" s="761" t="str">
        <f>IF($C26=0,"",SUMIFS(INPUT_DATA!AZ:AZ,INPUT_DATA!$A:$A,$C26,INPUT_DATA!$C:$C,"S"))</f>
        <v/>
      </c>
      <c r="K26" s="761" t="str">
        <f>IF($C26=0,"",SUMIFS(INPUT_DATA!BA:BA,INPUT_DATA!$A:$A,$C26,INPUT_DATA!$C:$C,"S"))</f>
        <v/>
      </c>
      <c r="L26" s="761" t="str">
        <f>IF($C26=0,"",SUMIFS(INPUT_DATA!BB:BB,INPUT_DATA!$A:$A,$C26,INPUT_DATA!$C:$C,"S"))</f>
        <v/>
      </c>
      <c r="M26" s="761" t="str">
        <f>IF($C26=0,"",SUMIFS(INPUT_DATA!BC:BC,INPUT_DATA!$A:$A,$C26,INPUT_DATA!$C:$C,"S"))</f>
        <v/>
      </c>
      <c r="N26" s="761" t="str">
        <f>IF($C26=0,"",SUMIFS(INPUT_DATA!BD:BD,INPUT_DATA!$A:$A,$C26,INPUT_DATA!$C:$C,"S"))</f>
        <v/>
      </c>
      <c r="O26" s="761" t="str">
        <f>IF($C26=0,"",SUMIFS(INPUT_DATA!BE:BE,INPUT_DATA!$A:$A,$C26,INPUT_DATA!$C:$C,"S"))</f>
        <v/>
      </c>
      <c r="P26" s="761" t="str">
        <f>IF($C26=0,"",SUMIFS(INPUT_DATA!BF:BF,INPUT_DATA!$A:$A,$C26,INPUT_DATA!$C:$C,"S"))</f>
        <v/>
      </c>
      <c r="Q26" s="767" t="str">
        <f t="shared" si="5"/>
        <v/>
      </c>
      <c r="R26" s="769" t="str">
        <f>IF($C26=0,"",SUMIFS(INPUT_DATA!BH:BH,INPUT_DATA!$A:$A,$C26,INPUT_DATA!$C:$C,"S"))</f>
        <v/>
      </c>
      <c r="S26" s="769" t="str">
        <f>IF($C26=0,"",SUMIFS(INPUT_DATA!BI:BI,INPUT_DATA!$A:$A,$C26,INPUT_DATA!$C:$C,"S"))</f>
        <v/>
      </c>
      <c r="T26" s="767" t="str">
        <f t="shared" si="6"/>
        <v/>
      </c>
      <c r="U26" s="772" t="str">
        <f>IF($C26=0,"",SUMIFS(INPUT_DATA!BL:BL,INPUT_DATA!$A:$A,$C26,INPUT_DATA!$C:$C,"S"))</f>
        <v/>
      </c>
      <c r="V26" s="155" t="str">
        <f t="shared" si="1"/>
        <v/>
      </c>
      <c r="W26" s="149"/>
      <c r="X26" s="749" t="str">
        <f>IF($C26=0,"",SUMIFS(INPUT_DATA!AU:AU,INPUT_DATA!$A:$A,$C26,INPUT_DATA!$C:$C,"D"))</f>
        <v/>
      </c>
      <c r="Y26" s="761" t="str">
        <f>IF($C26=0,"",SUMIFS(INPUT_DATA!AV:AV,INPUT_DATA!$A:$A,$C26,INPUT_DATA!$C:$C,"D"))</f>
        <v/>
      </c>
      <c r="Z26" s="761" t="str">
        <f>IF($C26=0,"",SUMIFS(INPUT_DATA!AW:AW,INPUT_DATA!$A:$A,$C26,INPUT_DATA!$C:$C,"D"))</f>
        <v/>
      </c>
      <c r="AA26" s="762" t="str">
        <f t="shared" si="2"/>
        <v/>
      </c>
      <c r="AB26" s="761" t="str">
        <f>IF($C26=0,"",SUMIFS(INPUT_DATA!AX:AX,INPUT_DATA!$A:$A,$C26,INPUT_DATA!$C:$C,"D"))</f>
        <v/>
      </c>
      <c r="AC26" s="761" t="str">
        <f>IF($C26=0,"",SUMIFS(INPUT_DATA!AY:AY,INPUT_DATA!$A:$A,$C26,INPUT_DATA!$C:$C,"D"))</f>
        <v/>
      </c>
      <c r="AD26" s="761" t="str">
        <f>IF($C26=0,"",SUMIFS(INPUT_DATA!AZ:AZ,INPUT_DATA!$A:$A,$C26,INPUT_DATA!$C:$C,"D"))</f>
        <v/>
      </c>
      <c r="AE26" s="761" t="str">
        <f>IF($C26=0,"",SUMIFS(INPUT_DATA!BA:BA,INPUT_DATA!$A:$A,$C26,INPUT_DATA!$C:$C,"D"))</f>
        <v/>
      </c>
      <c r="AF26" s="761" t="str">
        <f>IF($C26=0,"",SUMIFS(INPUT_DATA!BB:BB,INPUT_DATA!$A:$A,$C26,INPUT_DATA!$C:$C,"D"))</f>
        <v/>
      </c>
      <c r="AG26" s="761" t="str">
        <f>IF($C26=0,"",SUMIFS(INPUT_DATA!BC:BC,INPUT_DATA!$A:$A,$C26,INPUT_DATA!$C:$C,"D"))</f>
        <v/>
      </c>
      <c r="AH26" s="761" t="str">
        <f>IF($C26=0,"",SUMIFS(INPUT_DATA!BD:BD,INPUT_DATA!$A:$A,$C26,INPUT_DATA!$C:$C,"D"))</f>
        <v/>
      </c>
      <c r="AI26" s="761" t="str">
        <f>IF($C26=0,"",SUMIFS(INPUT_DATA!BE:BE,INPUT_DATA!$A:$A,$C26,INPUT_DATA!$C:$C,"D"))</f>
        <v/>
      </c>
      <c r="AJ26" s="314" t="str">
        <f t="shared" si="3"/>
        <v/>
      </c>
      <c r="AK26" s="769" t="str">
        <f>IF($C26=0,"",SUMIFS(INPUT_DATA!BG:BG,INPUT_DATA!$A:$A,$C26,INPUT_DATA!$C:$C,"D"))</f>
        <v/>
      </c>
      <c r="AL26" s="769" t="str">
        <f>IF($C26=0,"",SUMIFS(INPUT_DATA!BH:BH,INPUT_DATA!$A:$A,$C26,INPUT_DATA!$C:$C,"D"))</f>
        <v/>
      </c>
      <c r="AM26" s="769" t="str">
        <f>IF($C26=0,"",SUMIFS(INPUT_DATA!BI:BI,INPUT_DATA!$A:$A,$C26,INPUT_DATA!$C:$C,"D"))</f>
        <v/>
      </c>
      <c r="AN26" s="767" t="str">
        <f t="shared" si="7"/>
        <v/>
      </c>
      <c r="AO26" s="772" t="str">
        <f>IF($C26=0,"",SUMIFS(INPUT_DATA!BK:BK,INPUT_DATA!$A:$A,$C26,INPUT_DATA!$C:$C,"D"))</f>
        <v/>
      </c>
      <c r="AP26" s="354" t="str">
        <f t="shared" si="8"/>
        <v/>
      </c>
      <c r="AQ26" s="149"/>
      <c r="AS26" s="354" t="str">
        <f t="shared" si="9"/>
        <v/>
      </c>
      <c r="AU26" s="378" t="str">
        <f>IF($C26=0,"",'03 - Monthly Asset Follow up'!E30+'03 - Monthly Asset Follow up'!F30-'03 - Monthly Asset Follow up'!U30+'03 - Monthly Asset Follow up'!X30-H26)</f>
        <v/>
      </c>
      <c r="AV26" s="378" t="str">
        <f>IF($C26=0,"",'03 - Monthly Asset Follow up'!BD30+'03 - Monthly Asset Follow up'!BE30-'03 - Monthly Asset Follow up'!BT30+'03 - Monthly Asset Follow up'!BW30-AA26)</f>
        <v/>
      </c>
      <c r="AX26" s="154"/>
    </row>
    <row r="27" spans="2:50" x14ac:dyDescent="0.2">
      <c r="B27" s="753" t="str">
        <f t="shared" si="4"/>
        <v/>
      </c>
      <c r="C27" s="756">
        <f>'03 - Monthly Asset Follow up'!B31</f>
        <v>0</v>
      </c>
      <c r="D27" s="149"/>
      <c r="E27" s="749" t="str">
        <f>IF($C27=0,"",SUMIFS(INPUT_DATA!AU:AU,INPUT_DATA!$A:$A,$C27,INPUT_DATA!$C:$C,"S"))</f>
        <v/>
      </c>
      <c r="F27" s="761" t="str">
        <f>IF($C27=0,"",SUMIFS(INPUT_DATA!AV:AV,INPUT_DATA!$A:$A,$C27,INPUT_DATA!$C:$C,"S"))</f>
        <v/>
      </c>
      <c r="G27" s="761" t="str">
        <f>IF($C27=0,"",SUMIFS(INPUT_DATA!AW:AW,INPUT_DATA!$A:$A,$C27,INPUT_DATA!$C:$C,"S"))</f>
        <v/>
      </c>
      <c r="H27" s="763" t="str">
        <f t="shared" si="0"/>
        <v/>
      </c>
      <c r="I27" s="761" t="str">
        <f>IF($C27=0,"",SUMIFS(INPUT_DATA!AY:AY,INPUT_DATA!$A:$A,$C27,INPUT_DATA!$C:$C,"S"))</f>
        <v/>
      </c>
      <c r="J27" s="761" t="str">
        <f>IF($C27=0,"",SUMIFS(INPUT_DATA!AZ:AZ,INPUT_DATA!$A:$A,$C27,INPUT_DATA!$C:$C,"S"))</f>
        <v/>
      </c>
      <c r="K27" s="761" t="str">
        <f>IF($C27=0,"",SUMIFS(INPUT_DATA!BA:BA,INPUT_DATA!$A:$A,$C27,INPUT_DATA!$C:$C,"S"))</f>
        <v/>
      </c>
      <c r="L27" s="761" t="str">
        <f>IF($C27=0,"",SUMIFS(INPUT_DATA!BB:BB,INPUT_DATA!$A:$A,$C27,INPUT_DATA!$C:$C,"S"))</f>
        <v/>
      </c>
      <c r="M27" s="761" t="str">
        <f>IF($C27=0,"",SUMIFS(INPUT_DATA!BC:BC,INPUT_DATA!$A:$A,$C27,INPUT_DATA!$C:$C,"S"))</f>
        <v/>
      </c>
      <c r="N27" s="761" t="str">
        <f>IF($C27=0,"",SUMIFS(INPUT_DATA!BD:BD,INPUT_DATA!$A:$A,$C27,INPUT_DATA!$C:$C,"S"))</f>
        <v/>
      </c>
      <c r="O27" s="761" t="str">
        <f>IF($C27=0,"",SUMIFS(INPUT_DATA!BE:BE,INPUT_DATA!$A:$A,$C27,INPUT_DATA!$C:$C,"S"))</f>
        <v/>
      </c>
      <c r="P27" s="761" t="str">
        <f>IF($C27=0,"",SUMIFS(INPUT_DATA!BF:BF,INPUT_DATA!$A:$A,$C27,INPUT_DATA!$C:$C,"S"))</f>
        <v/>
      </c>
      <c r="Q27" s="767" t="str">
        <f t="shared" si="5"/>
        <v/>
      </c>
      <c r="R27" s="769" t="str">
        <f>IF($C27=0,"",SUMIFS(INPUT_DATA!BH:BH,INPUT_DATA!$A:$A,$C27,INPUT_DATA!$C:$C,"S"))</f>
        <v/>
      </c>
      <c r="S27" s="769" t="str">
        <f>IF($C27=0,"",SUMIFS(INPUT_DATA!BI:BI,INPUT_DATA!$A:$A,$C27,INPUT_DATA!$C:$C,"S"))</f>
        <v/>
      </c>
      <c r="T27" s="767" t="str">
        <f t="shared" si="6"/>
        <v/>
      </c>
      <c r="U27" s="772" t="str">
        <f>IF($C27=0,"",SUMIFS(INPUT_DATA!BL:BL,INPUT_DATA!$A:$A,$C27,INPUT_DATA!$C:$C,"S"))</f>
        <v/>
      </c>
      <c r="V27" s="155" t="str">
        <f t="shared" si="1"/>
        <v/>
      </c>
      <c r="W27" s="149"/>
      <c r="X27" s="749" t="str">
        <f>IF($C27=0,"",SUMIFS(INPUT_DATA!AU:AU,INPUT_DATA!$A:$A,$C27,INPUT_DATA!$C:$C,"D"))</f>
        <v/>
      </c>
      <c r="Y27" s="761" t="str">
        <f>IF($C27=0,"",SUMIFS(INPUT_DATA!AV:AV,INPUT_DATA!$A:$A,$C27,INPUT_DATA!$C:$C,"D"))</f>
        <v/>
      </c>
      <c r="Z27" s="761" t="str">
        <f>IF($C27=0,"",SUMIFS(INPUT_DATA!AW:AW,INPUT_DATA!$A:$A,$C27,INPUT_DATA!$C:$C,"D"))</f>
        <v/>
      </c>
      <c r="AA27" s="762" t="str">
        <f t="shared" si="2"/>
        <v/>
      </c>
      <c r="AB27" s="761" t="str">
        <f>IF($C27=0,"",SUMIFS(INPUT_DATA!AX:AX,INPUT_DATA!$A:$A,$C27,INPUT_DATA!$C:$C,"D"))</f>
        <v/>
      </c>
      <c r="AC27" s="761" t="str">
        <f>IF($C27=0,"",SUMIFS(INPUT_DATA!AY:AY,INPUT_DATA!$A:$A,$C27,INPUT_DATA!$C:$C,"D"))</f>
        <v/>
      </c>
      <c r="AD27" s="761" t="str">
        <f>IF($C27=0,"",SUMIFS(INPUT_DATA!AZ:AZ,INPUT_DATA!$A:$A,$C27,INPUT_DATA!$C:$C,"D"))</f>
        <v/>
      </c>
      <c r="AE27" s="761" t="str">
        <f>IF($C27=0,"",SUMIFS(INPUT_DATA!BA:BA,INPUT_DATA!$A:$A,$C27,INPUT_DATA!$C:$C,"D"))</f>
        <v/>
      </c>
      <c r="AF27" s="761" t="str">
        <f>IF($C27=0,"",SUMIFS(INPUT_DATA!BB:BB,INPUT_DATA!$A:$A,$C27,INPUT_DATA!$C:$C,"D"))</f>
        <v/>
      </c>
      <c r="AG27" s="761" t="str">
        <f>IF($C27=0,"",SUMIFS(INPUT_DATA!BC:BC,INPUT_DATA!$A:$A,$C27,INPUT_DATA!$C:$C,"D"))</f>
        <v/>
      </c>
      <c r="AH27" s="761" t="str">
        <f>IF($C27=0,"",SUMIFS(INPUT_DATA!BD:BD,INPUT_DATA!$A:$A,$C27,INPUT_DATA!$C:$C,"D"))</f>
        <v/>
      </c>
      <c r="AI27" s="761" t="str">
        <f>IF($C27=0,"",SUMIFS(INPUT_DATA!BE:BE,INPUT_DATA!$A:$A,$C27,INPUT_DATA!$C:$C,"D"))</f>
        <v/>
      </c>
      <c r="AJ27" s="314" t="str">
        <f t="shared" si="3"/>
        <v/>
      </c>
      <c r="AK27" s="769" t="str">
        <f>IF($C27=0,"",SUMIFS(INPUT_DATA!BG:BG,INPUT_DATA!$A:$A,$C27,INPUT_DATA!$C:$C,"D"))</f>
        <v/>
      </c>
      <c r="AL27" s="769" t="str">
        <f>IF($C27=0,"",SUMIFS(INPUT_DATA!BH:BH,INPUT_DATA!$A:$A,$C27,INPUT_DATA!$C:$C,"D"))</f>
        <v/>
      </c>
      <c r="AM27" s="769" t="str">
        <f>IF($C27=0,"",SUMIFS(INPUT_DATA!BI:BI,INPUT_DATA!$A:$A,$C27,INPUT_DATA!$C:$C,"D"))</f>
        <v/>
      </c>
      <c r="AN27" s="767" t="str">
        <f t="shared" si="7"/>
        <v/>
      </c>
      <c r="AO27" s="772" t="str">
        <f>IF($C27=0,"",SUMIFS(INPUT_DATA!BK:BK,INPUT_DATA!$A:$A,$C27,INPUT_DATA!$C:$C,"D"))</f>
        <v/>
      </c>
      <c r="AP27" s="354" t="str">
        <f t="shared" si="8"/>
        <v/>
      </c>
      <c r="AQ27" s="149"/>
      <c r="AS27" s="354" t="str">
        <f t="shared" si="9"/>
        <v/>
      </c>
      <c r="AU27" s="378" t="str">
        <f>IF($C27=0,"",'03 - Monthly Asset Follow up'!E31+'03 - Monthly Asset Follow up'!F31-'03 - Monthly Asset Follow up'!U31+'03 - Monthly Asset Follow up'!X31-H27)</f>
        <v/>
      </c>
      <c r="AV27" s="378" t="str">
        <f>IF($C27=0,"",'03 - Monthly Asset Follow up'!BD31+'03 - Monthly Asset Follow up'!BE31-'03 - Monthly Asset Follow up'!BT31+'03 - Monthly Asset Follow up'!BW31-AA27)</f>
        <v/>
      </c>
      <c r="AX27" s="154"/>
    </row>
    <row r="28" spans="2:50" x14ac:dyDescent="0.2">
      <c r="B28" s="753" t="str">
        <f t="shared" si="4"/>
        <v/>
      </c>
      <c r="C28" s="756">
        <f>'03 - Monthly Asset Follow up'!B32</f>
        <v>0</v>
      </c>
      <c r="D28" s="149"/>
      <c r="E28" s="749" t="str">
        <f>IF($C28=0,"",SUMIFS(INPUT_DATA!AU:AU,INPUT_DATA!$A:$A,$C28,INPUT_DATA!$C:$C,"S"))</f>
        <v/>
      </c>
      <c r="F28" s="761" t="str">
        <f>IF($C28=0,"",SUMIFS(INPUT_DATA!AV:AV,INPUT_DATA!$A:$A,$C28,INPUT_DATA!$C:$C,"S"))</f>
        <v/>
      </c>
      <c r="G28" s="761" t="str">
        <f>IF($C28=0,"",SUMIFS(INPUT_DATA!AW:AW,INPUT_DATA!$A:$A,$C28,INPUT_DATA!$C:$C,"S"))</f>
        <v/>
      </c>
      <c r="H28" s="763" t="str">
        <f t="shared" si="0"/>
        <v/>
      </c>
      <c r="I28" s="761" t="str">
        <f>IF($C28=0,"",SUMIFS(INPUT_DATA!AY:AY,INPUT_DATA!$A:$A,$C28,INPUT_DATA!$C:$C,"S"))</f>
        <v/>
      </c>
      <c r="J28" s="761" t="str">
        <f>IF($C28=0,"",SUMIFS(INPUT_DATA!AZ:AZ,INPUT_DATA!$A:$A,$C28,INPUT_DATA!$C:$C,"S"))</f>
        <v/>
      </c>
      <c r="K28" s="761" t="str">
        <f>IF($C28=0,"",SUMIFS(INPUT_DATA!BA:BA,INPUT_DATA!$A:$A,$C28,INPUT_DATA!$C:$C,"S"))</f>
        <v/>
      </c>
      <c r="L28" s="761" t="str">
        <f>IF($C28=0,"",SUMIFS(INPUT_DATA!BB:BB,INPUT_DATA!$A:$A,$C28,INPUT_DATA!$C:$C,"S"))</f>
        <v/>
      </c>
      <c r="M28" s="761" t="str">
        <f>IF($C28=0,"",SUMIFS(INPUT_DATA!BC:BC,INPUT_DATA!$A:$A,$C28,INPUT_DATA!$C:$C,"S"))</f>
        <v/>
      </c>
      <c r="N28" s="761" t="str">
        <f>IF($C28=0,"",SUMIFS(INPUT_DATA!BD:BD,INPUT_DATA!$A:$A,$C28,INPUT_DATA!$C:$C,"S"))</f>
        <v/>
      </c>
      <c r="O28" s="761" t="str">
        <f>IF($C28=0,"",SUMIFS(INPUT_DATA!BE:BE,INPUT_DATA!$A:$A,$C28,INPUT_DATA!$C:$C,"S"))</f>
        <v/>
      </c>
      <c r="P28" s="761" t="str">
        <f>IF($C28=0,"",SUMIFS(INPUT_DATA!BF:BF,INPUT_DATA!$A:$A,$C28,INPUT_DATA!$C:$C,"S"))</f>
        <v/>
      </c>
      <c r="Q28" s="767" t="str">
        <f t="shared" si="5"/>
        <v/>
      </c>
      <c r="R28" s="769" t="str">
        <f>IF($C28=0,"",SUMIFS(INPUT_DATA!BH:BH,INPUT_DATA!$A:$A,$C28,INPUT_DATA!$C:$C,"S"))</f>
        <v/>
      </c>
      <c r="S28" s="769" t="str">
        <f>IF($C28=0,"",SUMIFS(INPUT_DATA!BI:BI,INPUT_DATA!$A:$A,$C28,INPUT_DATA!$C:$C,"S"))</f>
        <v/>
      </c>
      <c r="T28" s="767" t="str">
        <f t="shared" si="6"/>
        <v/>
      </c>
      <c r="U28" s="772" t="str">
        <f>IF($C28=0,"",SUMIFS(INPUT_DATA!BL:BL,INPUT_DATA!$A:$A,$C28,INPUT_DATA!$C:$C,"S"))</f>
        <v/>
      </c>
      <c r="V28" s="155" t="str">
        <f t="shared" si="1"/>
        <v/>
      </c>
      <c r="W28" s="149"/>
      <c r="X28" s="749" t="str">
        <f>IF($C28=0,"",SUMIFS(INPUT_DATA!AU:AU,INPUT_DATA!$A:$A,$C28,INPUT_DATA!$C:$C,"D"))</f>
        <v/>
      </c>
      <c r="Y28" s="761" t="str">
        <f>IF($C28=0,"",SUMIFS(INPUT_DATA!AV:AV,INPUT_DATA!$A:$A,$C28,INPUT_DATA!$C:$C,"D"))</f>
        <v/>
      </c>
      <c r="Z28" s="761" t="str">
        <f>IF($C28=0,"",SUMIFS(INPUT_DATA!AW:AW,INPUT_DATA!$A:$A,$C28,INPUT_DATA!$C:$C,"D"))</f>
        <v/>
      </c>
      <c r="AA28" s="762" t="str">
        <f t="shared" si="2"/>
        <v/>
      </c>
      <c r="AB28" s="761" t="str">
        <f>IF($C28=0,"",SUMIFS(INPUT_DATA!AX:AX,INPUT_DATA!$A:$A,$C28,INPUT_DATA!$C:$C,"D"))</f>
        <v/>
      </c>
      <c r="AC28" s="761" t="str">
        <f>IF($C28=0,"",SUMIFS(INPUT_DATA!AY:AY,INPUT_DATA!$A:$A,$C28,INPUT_DATA!$C:$C,"D"))</f>
        <v/>
      </c>
      <c r="AD28" s="761" t="str">
        <f>IF($C28=0,"",SUMIFS(INPUT_DATA!AZ:AZ,INPUT_DATA!$A:$A,$C28,INPUT_DATA!$C:$C,"D"))</f>
        <v/>
      </c>
      <c r="AE28" s="761" t="str">
        <f>IF($C28=0,"",SUMIFS(INPUT_DATA!BA:BA,INPUT_DATA!$A:$A,$C28,INPUT_DATA!$C:$C,"D"))</f>
        <v/>
      </c>
      <c r="AF28" s="761" t="str">
        <f>IF($C28=0,"",SUMIFS(INPUT_DATA!BB:BB,INPUT_DATA!$A:$A,$C28,INPUT_DATA!$C:$C,"D"))</f>
        <v/>
      </c>
      <c r="AG28" s="761" t="str">
        <f>IF($C28=0,"",SUMIFS(INPUT_DATA!BC:BC,INPUT_DATA!$A:$A,$C28,INPUT_DATA!$C:$C,"D"))</f>
        <v/>
      </c>
      <c r="AH28" s="761" t="str">
        <f>IF($C28=0,"",SUMIFS(INPUT_DATA!BD:BD,INPUT_DATA!$A:$A,$C28,INPUT_DATA!$C:$C,"D"))</f>
        <v/>
      </c>
      <c r="AI28" s="761" t="str">
        <f>IF($C28=0,"",SUMIFS(INPUT_DATA!BE:BE,INPUT_DATA!$A:$A,$C28,INPUT_DATA!$C:$C,"D"))</f>
        <v/>
      </c>
      <c r="AJ28" s="314" t="str">
        <f t="shared" si="3"/>
        <v/>
      </c>
      <c r="AK28" s="769" t="str">
        <f>IF($C28=0,"",SUMIFS(INPUT_DATA!BG:BG,INPUT_DATA!$A:$A,$C28,INPUT_DATA!$C:$C,"D"))</f>
        <v/>
      </c>
      <c r="AL28" s="769" t="str">
        <f>IF($C28=0,"",SUMIFS(INPUT_DATA!BH:BH,INPUT_DATA!$A:$A,$C28,INPUT_DATA!$C:$C,"D"))</f>
        <v/>
      </c>
      <c r="AM28" s="769" t="str">
        <f>IF($C28=0,"",SUMIFS(INPUT_DATA!BI:BI,INPUT_DATA!$A:$A,$C28,INPUT_DATA!$C:$C,"D"))</f>
        <v/>
      </c>
      <c r="AN28" s="767" t="str">
        <f t="shared" si="7"/>
        <v/>
      </c>
      <c r="AO28" s="772" t="str">
        <f>IF($C28=0,"",SUMIFS(INPUT_DATA!BK:BK,INPUT_DATA!$A:$A,$C28,INPUT_DATA!$C:$C,"D"))</f>
        <v/>
      </c>
      <c r="AP28" s="354" t="str">
        <f t="shared" si="8"/>
        <v/>
      </c>
      <c r="AQ28" s="149"/>
      <c r="AS28" s="354" t="str">
        <f t="shared" si="9"/>
        <v/>
      </c>
      <c r="AU28" s="378" t="str">
        <f>IF($C28=0,"",'03 - Monthly Asset Follow up'!E32+'03 - Monthly Asset Follow up'!F32-'03 - Monthly Asset Follow up'!U32+'03 - Monthly Asset Follow up'!X32-H28)</f>
        <v/>
      </c>
      <c r="AV28" s="378" t="str">
        <f>IF($C28=0,"",'03 - Monthly Asset Follow up'!BD32+'03 - Monthly Asset Follow up'!BE32-'03 - Monthly Asset Follow up'!BT32+'03 - Monthly Asset Follow up'!BW32-AA28)</f>
        <v/>
      </c>
      <c r="AX28" s="154"/>
    </row>
    <row r="29" spans="2:50" x14ac:dyDescent="0.2">
      <c r="B29" s="753" t="str">
        <f t="shared" si="4"/>
        <v/>
      </c>
      <c r="C29" s="756">
        <f>'03 - Monthly Asset Follow up'!B33</f>
        <v>0</v>
      </c>
      <c r="D29" s="149"/>
      <c r="E29" s="749" t="str">
        <f>IF($C29=0,"",SUMIFS(INPUT_DATA!AU:AU,INPUT_DATA!$A:$A,$C29,INPUT_DATA!$C:$C,"S"))</f>
        <v/>
      </c>
      <c r="F29" s="761" t="str">
        <f>IF($C29=0,"",SUMIFS(INPUT_DATA!AV:AV,INPUT_DATA!$A:$A,$C29,INPUT_DATA!$C:$C,"S"))</f>
        <v/>
      </c>
      <c r="G29" s="761" t="str">
        <f>IF($C29=0,"",SUMIFS(INPUT_DATA!AW:AW,INPUT_DATA!$A:$A,$C29,INPUT_DATA!$C:$C,"S"))</f>
        <v/>
      </c>
      <c r="H29" s="763" t="str">
        <f t="shared" si="0"/>
        <v/>
      </c>
      <c r="I29" s="761" t="str">
        <f>IF($C29=0,"",SUMIFS(INPUT_DATA!AY:AY,INPUT_DATA!$A:$A,$C29,INPUT_DATA!$C:$C,"S"))</f>
        <v/>
      </c>
      <c r="J29" s="761" t="str">
        <f>IF($C29=0,"",SUMIFS(INPUT_DATA!AZ:AZ,INPUT_DATA!$A:$A,$C29,INPUT_DATA!$C:$C,"S"))</f>
        <v/>
      </c>
      <c r="K29" s="761" t="str">
        <f>IF($C29=0,"",SUMIFS(INPUT_DATA!BA:BA,INPUT_DATA!$A:$A,$C29,INPUT_DATA!$C:$C,"S"))</f>
        <v/>
      </c>
      <c r="L29" s="761" t="str">
        <f>IF($C29=0,"",SUMIFS(INPUT_DATA!BB:BB,INPUT_DATA!$A:$A,$C29,INPUT_DATA!$C:$C,"S"))</f>
        <v/>
      </c>
      <c r="M29" s="761" t="str">
        <f>IF($C29=0,"",SUMIFS(INPUT_DATA!BC:BC,INPUT_DATA!$A:$A,$C29,INPUT_DATA!$C:$C,"S"))</f>
        <v/>
      </c>
      <c r="N29" s="761" t="str">
        <f>IF($C29=0,"",SUMIFS(INPUT_DATA!BD:BD,INPUT_DATA!$A:$A,$C29,INPUT_DATA!$C:$C,"S"))</f>
        <v/>
      </c>
      <c r="O29" s="761" t="str">
        <f>IF($C29=0,"",SUMIFS(INPUT_DATA!BE:BE,INPUT_DATA!$A:$A,$C29,INPUT_DATA!$C:$C,"S"))</f>
        <v/>
      </c>
      <c r="P29" s="761" t="str">
        <f>IF($C29=0,"",SUMIFS(INPUT_DATA!BF:BF,INPUT_DATA!$A:$A,$C29,INPUT_DATA!$C:$C,"S"))</f>
        <v/>
      </c>
      <c r="Q29" s="767" t="str">
        <f t="shared" si="5"/>
        <v/>
      </c>
      <c r="R29" s="769" t="str">
        <f>IF($C29=0,"",SUMIFS(INPUT_DATA!BH:BH,INPUT_DATA!$A:$A,$C29,INPUT_DATA!$C:$C,"S"))</f>
        <v/>
      </c>
      <c r="S29" s="769" t="str">
        <f>IF($C29=0,"",SUMIFS(INPUT_DATA!BI:BI,INPUT_DATA!$A:$A,$C29,INPUT_DATA!$C:$C,"S"))</f>
        <v/>
      </c>
      <c r="T29" s="767" t="str">
        <f t="shared" si="6"/>
        <v/>
      </c>
      <c r="U29" s="772" t="str">
        <f>IF($C29=0,"",SUMIFS(INPUT_DATA!BL:BL,INPUT_DATA!$A:$A,$C29,INPUT_DATA!$C:$C,"S"))</f>
        <v/>
      </c>
      <c r="V29" s="155" t="str">
        <f t="shared" si="1"/>
        <v/>
      </c>
      <c r="W29" s="149"/>
      <c r="X29" s="749" t="str">
        <f>IF($C29=0,"",SUMIFS(INPUT_DATA!AU:AU,INPUT_DATA!$A:$A,$C29,INPUT_DATA!$C:$C,"D"))</f>
        <v/>
      </c>
      <c r="Y29" s="761" t="str">
        <f>IF($C29=0,"",SUMIFS(INPUT_DATA!AV:AV,INPUT_DATA!$A:$A,$C29,INPUT_DATA!$C:$C,"D"))</f>
        <v/>
      </c>
      <c r="Z29" s="761" t="str">
        <f>IF($C29=0,"",SUMIFS(INPUT_DATA!AW:AW,INPUT_DATA!$A:$A,$C29,INPUT_DATA!$C:$C,"D"))</f>
        <v/>
      </c>
      <c r="AA29" s="762" t="str">
        <f t="shared" si="2"/>
        <v/>
      </c>
      <c r="AB29" s="761" t="str">
        <f>IF($C29=0,"",SUMIFS(INPUT_DATA!AX:AX,INPUT_DATA!$A:$A,$C29,INPUT_DATA!$C:$C,"D"))</f>
        <v/>
      </c>
      <c r="AC29" s="761" t="str">
        <f>IF($C29=0,"",SUMIFS(INPUT_DATA!AY:AY,INPUT_DATA!$A:$A,$C29,INPUT_DATA!$C:$C,"D"))</f>
        <v/>
      </c>
      <c r="AD29" s="761" t="str">
        <f>IF($C29=0,"",SUMIFS(INPUT_DATA!AZ:AZ,INPUT_DATA!$A:$A,$C29,INPUT_DATA!$C:$C,"D"))</f>
        <v/>
      </c>
      <c r="AE29" s="761" t="str">
        <f>IF($C29=0,"",SUMIFS(INPUT_DATA!BA:BA,INPUT_DATA!$A:$A,$C29,INPUT_DATA!$C:$C,"D"))</f>
        <v/>
      </c>
      <c r="AF29" s="761" t="str">
        <f>IF($C29=0,"",SUMIFS(INPUT_DATA!BB:BB,INPUT_DATA!$A:$A,$C29,INPUT_DATA!$C:$C,"D"))</f>
        <v/>
      </c>
      <c r="AG29" s="761" t="str">
        <f>IF($C29=0,"",SUMIFS(INPUT_DATA!BC:BC,INPUT_DATA!$A:$A,$C29,INPUT_DATA!$C:$C,"D"))</f>
        <v/>
      </c>
      <c r="AH29" s="761" t="str">
        <f>IF($C29=0,"",SUMIFS(INPUT_DATA!BD:BD,INPUT_DATA!$A:$A,$C29,INPUT_DATA!$C:$C,"D"))</f>
        <v/>
      </c>
      <c r="AI29" s="761" t="str">
        <f>IF($C29=0,"",SUMIFS(INPUT_DATA!BE:BE,INPUT_DATA!$A:$A,$C29,INPUT_DATA!$C:$C,"D"))</f>
        <v/>
      </c>
      <c r="AJ29" s="314" t="str">
        <f t="shared" si="3"/>
        <v/>
      </c>
      <c r="AK29" s="769" t="str">
        <f>IF($C29=0,"",SUMIFS(INPUT_DATA!BG:BG,INPUT_DATA!$A:$A,$C29,INPUT_DATA!$C:$C,"D"))</f>
        <v/>
      </c>
      <c r="AL29" s="769" t="str">
        <f>IF($C29=0,"",SUMIFS(INPUT_DATA!BH:BH,INPUT_DATA!$A:$A,$C29,INPUT_DATA!$C:$C,"D"))</f>
        <v/>
      </c>
      <c r="AM29" s="769" t="str">
        <f>IF($C29=0,"",SUMIFS(INPUT_DATA!BI:BI,INPUT_DATA!$A:$A,$C29,INPUT_DATA!$C:$C,"D"))</f>
        <v/>
      </c>
      <c r="AN29" s="767" t="str">
        <f t="shared" si="7"/>
        <v/>
      </c>
      <c r="AO29" s="772" t="str">
        <f>IF($C29=0,"",SUMIFS(INPUT_DATA!BK:BK,INPUT_DATA!$A:$A,$C29,INPUT_DATA!$C:$C,"D"))</f>
        <v/>
      </c>
      <c r="AP29" s="354" t="str">
        <f t="shared" si="8"/>
        <v/>
      </c>
      <c r="AQ29" s="149"/>
      <c r="AS29" s="354" t="str">
        <f t="shared" si="9"/>
        <v/>
      </c>
      <c r="AU29" s="378" t="str">
        <f>IF($C29=0,"",'03 - Monthly Asset Follow up'!E33+'03 - Monthly Asset Follow up'!F33-'03 - Monthly Asset Follow up'!U33+'03 - Monthly Asset Follow up'!X33-H29)</f>
        <v/>
      </c>
      <c r="AV29" s="378" t="str">
        <f>IF($C29=0,"",'03 - Monthly Asset Follow up'!BD33+'03 - Monthly Asset Follow up'!BE33-'03 - Monthly Asset Follow up'!BT33+'03 - Monthly Asset Follow up'!BW33-AA29)</f>
        <v/>
      </c>
      <c r="AX29" s="154"/>
    </row>
    <row r="30" spans="2:50" x14ac:dyDescent="0.2">
      <c r="B30" s="753" t="str">
        <f t="shared" si="4"/>
        <v/>
      </c>
      <c r="C30" s="756">
        <f>'03 - Monthly Asset Follow up'!B34</f>
        <v>0</v>
      </c>
      <c r="D30" s="149"/>
      <c r="E30" s="749" t="str">
        <f>IF($C30=0,"",SUMIFS(INPUT_DATA!AU:AU,INPUT_DATA!$A:$A,$C30,INPUT_DATA!$C:$C,"S"))</f>
        <v/>
      </c>
      <c r="F30" s="761" t="str">
        <f>IF($C30=0,"",SUMIFS(INPUT_DATA!AV:AV,INPUT_DATA!$A:$A,$C30,INPUT_DATA!$C:$C,"S"))</f>
        <v/>
      </c>
      <c r="G30" s="761" t="str">
        <f>IF($C30=0,"",SUMIFS(INPUT_DATA!AW:AW,INPUT_DATA!$A:$A,$C30,INPUT_DATA!$C:$C,"S"))</f>
        <v/>
      </c>
      <c r="H30" s="763" t="str">
        <f t="shared" si="0"/>
        <v/>
      </c>
      <c r="I30" s="761" t="str">
        <f>IF($C30=0,"",SUMIFS(INPUT_DATA!AY:AY,INPUT_DATA!$A:$A,$C30,INPUT_DATA!$C:$C,"S"))</f>
        <v/>
      </c>
      <c r="J30" s="761" t="str">
        <f>IF($C30=0,"",SUMIFS(INPUT_DATA!AZ:AZ,INPUT_DATA!$A:$A,$C30,INPUT_DATA!$C:$C,"S"))</f>
        <v/>
      </c>
      <c r="K30" s="761" t="str">
        <f>IF($C30=0,"",SUMIFS(INPUT_DATA!BA:BA,INPUT_DATA!$A:$A,$C30,INPUT_DATA!$C:$C,"S"))</f>
        <v/>
      </c>
      <c r="L30" s="761" t="str">
        <f>IF($C30=0,"",SUMIFS(INPUT_DATA!BB:BB,INPUT_DATA!$A:$A,$C30,INPUT_DATA!$C:$C,"S"))</f>
        <v/>
      </c>
      <c r="M30" s="761" t="str">
        <f>IF($C30=0,"",SUMIFS(INPUT_DATA!BC:BC,INPUT_DATA!$A:$A,$C30,INPUT_DATA!$C:$C,"S"))</f>
        <v/>
      </c>
      <c r="N30" s="761" t="str">
        <f>IF($C30=0,"",SUMIFS(INPUT_DATA!BD:BD,INPUT_DATA!$A:$A,$C30,INPUT_DATA!$C:$C,"S"))</f>
        <v/>
      </c>
      <c r="O30" s="761" t="str">
        <f>IF($C30=0,"",SUMIFS(INPUT_DATA!BE:BE,INPUT_DATA!$A:$A,$C30,INPUT_DATA!$C:$C,"S"))</f>
        <v/>
      </c>
      <c r="P30" s="761" t="str">
        <f>IF($C30=0,"",SUMIFS(INPUT_DATA!BF:BF,INPUT_DATA!$A:$A,$C30,INPUT_DATA!$C:$C,"S"))</f>
        <v/>
      </c>
      <c r="Q30" s="767" t="str">
        <f t="shared" si="5"/>
        <v/>
      </c>
      <c r="R30" s="769" t="str">
        <f>IF($C30=0,"",SUMIFS(INPUT_DATA!BH:BH,INPUT_DATA!$A:$A,$C30,INPUT_DATA!$C:$C,"S"))</f>
        <v/>
      </c>
      <c r="S30" s="769" t="str">
        <f>IF($C30=0,"",SUMIFS(INPUT_DATA!BI:BI,INPUT_DATA!$A:$A,$C30,INPUT_DATA!$C:$C,"S"))</f>
        <v/>
      </c>
      <c r="T30" s="767" t="str">
        <f t="shared" si="6"/>
        <v/>
      </c>
      <c r="U30" s="772" t="str">
        <f>IF($C30=0,"",SUMIFS(INPUT_DATA!BL:BL,INPUT_DATA!$A:$A,$C30,INPUT_DATA!$C:$C,"S"))</f>
        <v/>
      </c>
      <c r="V30" s="155" t="str">
        <f t="shared" si="1"/>
        <v/>
      </c>
      <c r="W30" s="149"/>
      <c r="X30" s="749" t="str">
        <f>IF($C30=0,"",SUMIFS(INPUT_DATA!AU:AU,INPUT_DATA!$A:$A,$C30,INPUT_DATA!$C:$C,"D"))</f>
        <v/>
      </c>
      <c r="Y30" s="761" t="str">
        <f>IF($C30=0,"",SUMIFS(INPUT_DATA!AV:AV,INPUT_DATA!$A:$A,$C30,INPUT_DATA!$C:$C,"D"))</f>
        <v/>
      </c>
      <c r="Z30" s="761" t="str">
        <f>IF($C30=0,"",SUMIFS(INPUT_DATA!AW:AW,INPUT_DATA!$A:$A,$C30,INPUT_DATA!$C:$C,"D"))</f>
        <v/>
      </c>
      <c r="AA30" s="762" t="str">
        <f t="shared" si="2"/>
        <v/>
      </c>
      <c r="AB30" s="761" t="str">
        <f>IF($C30=0,"",SUMIFS(INPUT_DATA!AX:AX,INPUT_DATA!$A:$A,$C30,INPUT_DATA!$C:$C,"D"))</f>
        <v/>
      </c>
      <c r="AC30" s="761" t="str">
        <f>IF($C30=0,"",SUMIFS(INPUT_DATA!AY:AY,INPUT_DATA!$A:$A,$C30,INPUT_DATA!$C:$C,"D"))</f>
        <v/>
      </c>
      <c r="AD30" s="761" t="str">
        <f>IF($C30=0,"",SUMIFS(INPUT_DATA!AZ:AZ,INPUT_DATA!$A:$A,$C30,INPUT_DATA!$C:$C,"D"))</f>
        <v/>
      </c>
      <c r="AE30" s="761" t="str">
        <f>IF($C30=0,"",SUMIFS(INPUT_DATA!BA:BA,INPUT_DATA!$A:$A,$C30,INPUT_DATA!$C:$C,"D"))</f>
        <v/>
      </c>
      <c r="AF30" s="761" t="str">
        <f>IF($C30=0,"",SUMIFS(INPUT_DATA!BB:BB,INPUT_DATA!$A:$A,$C30,INPUT_DATA!$C:$C,"D"))</f>
        <v/>
      </c>
      <c r="AG30" s="761" t="str">
        <f>IF($C30=0,"",SUMIFS(INPUT_DATA!BC:BC,INPUT_DATA!$A:$A,$C30,INPUT_DATA!$C:$C,"D"))</f>
        <v/>
      </c>
      <c r="AH30" s="761" t="str">
        <f>IF($C30=0,"",SUMIFS(INPUT_DATA!BD:BD,INPUT_DATA!$A:$A,$C30,INPUT_DATA!$C:$C,"D"))</f>
        <v/>
      </c>
      <c r="AI30" s="761" t="str">
        <f>IF($C30=0,"",SUMIFS(INPUT_DATA!BE:BE,INPUT_DATA!$A:$A,$C30,INPUT_DATA!$C:$C,"D"))</f>
        <v/>
      </c>
      <c r="AJ30" s="314" t="str">
        <f t="shared" si="3"/>
        <v/>
      </c>
      <c r="AK30" s="769" t="str">
        <f>IF($C30=0,"",SUMIFS(INPUT_DATA!BG:BG,INPUT_DATA!$A:$A,$C30,INPUT_DATA!$C:$C,"D"))</f>
        <v/>
      </c>
      <c r="AL30" s="769" t="str">
        <f>IF($C30=0,"",SUMIFS(INPUT_DATA!BH:BH,INPUT_DATA!$A:$A,$C30,INPUT_DATA!$C:$C,"D"))</f>
        <v/>
      </c>
      <c r="AM30" s="769" t="str">
        <f>IF($C30=0,"",SUMIFS(INPUT_DATA!BI:BI,INPUT_DATA!$A:$A,$C30,INPUT_DATA!$C:$C,"D"))</f>
        <v/>
      </c>
      <c r="AN30" s="767" t="str">
        <f t="shared" si="7"/>
        <v/>
      </c>
      <c r="AO30" s="772" t="str">
        <f>IF($C30=0,"",SUMIFS(INPUT_DATA!BK:BK,INPUT_DATA!$A:$A,$C30,INPUT_DATA!$C:$C,"D"))</f>
        <v/>
      </c>
      <c r="AP30" s="354" t="str">
        <f t="shared" si="8"/>
        <v/>
      </c>
      <c r="AQ30" s="149"/>
      <c r="AS30" s="354" t="str">
        <f t="shared" si="9"/>
        <v/>
      </c>
      <c r="AU30" s="378" t="str">
        <f>IF($C30=0,"",'03 - Monthly Asset Follow up'!E34+'03 - Monthly Asset Follow up'!F34-'03 - Monthly Asset Follow up'!U34+'03 - Monthly Asset Follow up'!X34-H30)</f>
        <v/>
      </c>
      <c r="AV30" s="378" t="str">
        <f>IF($C30=0,"",'03 - Monthly Asset Follow up'!BD34+'03 - Monthly Asset Follow up'!BE34-'03 - Monthly Asset Follow up'!BT34+'03 - Monthly Asset Follow up'!BW34-AA30)</f>
        <v/>
      </c>
      <c r="AX30" s="154"/>
    </row>
    <row r="31" spans="2:50" x14ac:dyDescent="0.2">
      <c r="B31" s="753" t="str">
        <f t="shared" si="4"/>
        <v/>
      </c>
      <c r="C31" s="756">
        <f>'03 - Monthly Asset Follow up'!B35</f>
        <v>0</v>
      </c>
      <c r="D31" s="149"/>
      <c r="E31" s="749" t="str">
        <f>IF($C31=0,"",SUMIFS(INPUT_DATA!AU:AU,INPUT_DATA!$A:$A,$C31,INPUT_DATA!$C:$C,"S"))</f>
        <v/>
      </c>
      <c r="F31" s="761" t="str">
        <f>IF($C31=0,"",SUMIFS(INPUT_DATA!AV:AV,INPUT_DATA!$A:$A,$C31,INPUT_DATA!$C:$C,"S"))</f>
        <v/>
      </c>
      <c r="G31" s="761" t="str">
        <f>IF($C31=0,"",SUMIFS(INPUT_DATA!AW:AW,INPUT_DATA!$A:$A,$C31,INPUT_DATA!$C:$C,"S"))</f>
        <v/>
      </c>
      <c r="H31" s="763" t="str">
        <f t="shared" si="0"/>
        <v/>
      </c>
      <c r="I31" s="761" t="str">
        <f>IF($C31=0,"",SUMIFS(INPUT_DATA!AY:AY,INPUT_DATA!$A:$A,$C31,INPUT_DATA!$C:$C,"S"))</f>
        <v/>
      </c>
      <c r="J31" s="761" t="str">
        <f>IF($C31=0,"",SUMIFS(INPUT_DATA!AZ:AZ,INPUT_DATA!$A:$A,$C31,INPUT_DATA!$C:$C,"S"))</f>
        <v/>
      </c>
      <c r="K31" s="761" t="str">
        <f>IF($C31=0,"",SUMIFS(INPUT_DATA!BA:BA,INPUT_DATA!$A:$A,$C31,INPUT_DATA!$C:$C,"S"))</f>
        <v/>
      </c>
      <c r="L31" s="761" t="str">
        <f>IF($C31=0,"",SUMIFS(INPUT_DATA!BB:BB,INPUT_DATA!$A:$A,$C31,INPUT_DATA!$C:$C,"S"))</f>
        <v/>
      </c>
      <c r="M31" s="761" t="str">
        <f>IF($C31=0,"",SUMIFS(INPUT_DATA!BC:BC,INPUT_DATA!$A:$A,$C31,INPUT_DATA!$C:$C,"S"))</f>
        <v/>
      </c>
      <c r="N31" s="761" t="str">
        <f>IF($C31=0,"",SUMIFS(INPUT_DATA!BD:BD,INPUT_DATA!$A:$A,$C31,INPUT_DATA!$C:$C,"S"))</f>
        <v/>
      </c>
      <c r="O31" s="761" t="str">
        <f>IF($C31=0,"",SUMIFS(INPUT_DATA!BE:BE,INPUT_DATA!$A:$A,$C31,INPUT_DATA!$C:$C,"S"))</f>
        <v/>
      </c>
      <c r="P31" s="761" t="str">
        <f>IF($C31=0,"",SUMIFS(INPUT_DATA!BF:BF,INPUT_DATA!$A:$A,$C31,INPUT_DATA!$C:$C,"S"))</f>
        <v/>
      </c>
      <c r="Q31" s="767" t="str">
        <f t="shared" si="5"/>
        <v/>
      </c>
      <c r="R31" s="769" t="str">
        <f>IF($C31=0,"",SUMIFS(INPUT_DATA!BH:BH,INPUT_DATA!$A:$A,$C31,INPUT_DATA!$C:$C,"S"))</f>
        <v/>
      </c>
      <c r="S31" s="769" t="str">
        <f>IF($C31=0,"",SUMIFS(INPUT_DATA!BI:BI,INPUT_DATA!$A:$A,$C31,INPUT_DATA!$C:$C,"S"))</f>
        <v/>
      </c>
      <c r="T31" s="767" t="str">
        <f t="shared" si="6"/>
        <v/>
      </c>
      <c r="U31" s="772" t="str">
        <f>IF($C31=0,"",SUMIFS(INPUT_DATA!BL:BL,INPUT_DATA!$A:$A,$C31,INPUT_DATA!$C:$C,"S"))</f>
        <v/>
      </c>
      <c r="V31" s="155" t="str">
        <f t="shared" si="1"/>
        <v/>
      </c>
      <c r="W31" s="149"/>
      <c r="X31" s="749" t="str">
        <f>IF($C31=0,"",SUMIFS(INPUT_DATA!AU:AU,INPUT_DATA!$A:$A,$C31,INPUT_DATA!$C:$C,"D"))</f>
        <v/>
      </c>
      <c r="Y31" s="761" t="str">
        <f>IF($C31=0,"",SUMIFS(INPUT_DATA!AV:AV,INPUT_DATA!$A:$A,$C31,INPUT_DATA!$C:$C,"D"))</f>
        <v/>
      </c>
      <c r="Z31" s="761" t="str">
        <f>IF($C31=0,"",SUMIFS(INPUT_DATA!AW:AW,INPUT_DATA!$A:$A,$C31,INPUT_DATA!$C:$C,"D"))</f>
        <v/>
      </c>
      <c r="AA31" s="762" t="str">
        <f t="shared" si="2"/>
        <v/>
      </c>
      <c r="AB31" s="761" t="str">
        <f>IF($C31=0,"",SUMIFS(INPUT_DATA!AX:AX,INPUT_DATA!$A:$A,$C31,INPUT_DATA!$C:$C,"D"))</f>
        <v/>
      </c>
      <c r="AC31" s="761" t="str">
        <f>IF($C31=0,"",SUMIFS(INPUT_DATA!AY:AY,INPUT_DATA!$A:$A,$C31,INPUT_DATA!$C:$C,"D"))</f>
        <v/>
      </c>
      <c r="AD31" s="761" t="str">
        <f>IF($C31=0,"",SUMIFS(INPUT_DATA!AZ:AZ,INPUT_DATA!$A:$A,$C31,INPUT_DATA!$C:$C,"D"))</f>
        <v/>
      </c>
      <c r="AE31" s="761" t="str">
        <f>IF($C31=0,"",SUMIFS(INPUT_DATA!BA:BA,INPUT_DATA!$A:$A,$C31,INPUT_DATA!$C:$C,"D"))</f>
        <v/>
      </c>
      <c r="AF31" s="761" t="str">
        <f>IF($C31=0,"",SUMIFS(INPUT_DATA!BB:BB,INPUT_DATA!$A:$A,$C31,INPUT_DATA!$C:$C,"D"))</f>
        <v/>
      </c>
      <c r="AG31" s="761" t="str">
        <f>IF($C31=0,"",SUMIFS(INPUT_DATA!BC:BC,INPUT_DATA!$A:$A,$C31,INPUT_DATA!$C:$C,"D"))</f>
        <v/>
      </c>
      <c r="AH31" s="761" t="str">
        <f>IF($C31=0,"",SUMIFS(INPUT_DATA!BD:BD,INPUT_DATA!$A:$A,$C31,INPUT_DATA!$C:$C,"D"))</f>
        <v/>
      </c>
      <c r="AI31" s="761" t="str">
        <f>IF($C31=0,"",SUMIFS(INPUT_DATA!BE:BE,INPUT_DATA!$A:$A,$C31,INPUT_DATA!$C:$C,"D"))</f>
        <v/>
      </c>
      <c r="AJ31" s="314" t="str">
        <f t="shared" si="3"/>
        <v/>
      </c>
      <c r="AK31" s="769" t="str">
        <f>IF($C31=0,"",SUMIFS(INPUT_DATA!BG:BG,INPUT_DATA!$A:$A,$C31,INPUT_DATA!$C:$C,"D"))</f>
        <v/>
      </c>
      <c r="AL31" s="769" t="str">
        <f>IF($C31=0,"",SUMIFS(INPUT_DATA!BH:BH,INPUT_DATA!$A:$A,$C31,INPUT_DATA!$C:$C,"D"))</f>
        <v/>
      </c>
      <c r="AM31" s="769" t="str">
        <f>IF($C31=0,"",SUMIFS(INPUT_DATA!BI:BI,INPUT_DATA!$A:$A,$C31,INPUT_DATA!$C:$C,"D"))</f>
        <v/>
      </c>
      <c r="AN31" s="767" t="str">
        <f t="shared" si="7"/>
        <v/>
      </c>
      <c r="AO31" s="772" t="str">
        <f>IF($C31=0,"",SUMIFS(INPUT_DATA!BK:BK,INPUT_DATA!$A:$A,$C31,INPUT_DATA!$C:$C,"D"))</f>
        <v/>
      </c>
      <c r="AP31" s="354" t="str">
        <f t="shared" si="8"/>
        <v/>
      </c>
      <c r="AQ31" s="149"/>
      <c r="AS31" s="354" t="str">
        <f t="shared" si="9"/>
        <v/>
      </c>
      <c r="AU31" s="378" t="str">
        <f>IF($C31=0,"",'03 - Monthly Asset Follow up'!E35+'03 - Monthly Asset Follow up'!F35-'03 - Monthly Asset Follow up'!U35+'03 - Monthly Asset Follow up'!X35-H31)</f>
        <v/>
      </c>
      <c r="AV31" s="378" t="str">
        <f>IF($C31=0,"",'03 - Monthly Asset Follow up'!BD35+'03 - Monthly Asset Follow up'!BE35-'03 - Monthly Asset Follow up'!BT35+'03 - Monthly Asset Follow up'!BW35-AA31)</f>
        <v/>
      </c>
      <c r="AX31" s="154"/>
    </row>
    <row r="32" spans="2:50" x14ac:dyDescent="0.2">
      <c r="B32" s="753" t="str">
        <f t="shared" si="4"/>
        <v/>
      </c>
      <c r="C32" s="756">
        <f>'03 - Monthly Asset Follow up'!B36</f>
        <v>0</v>
      </c>
      <c r="D32" s="149"/>
      <c r="E32" s="749" t="str">
        <f>IF($C32=0,"",SUMIFS(INPUT_DATA!AU:AU,INPUT_DATA!$A:$A,$C32,INPUT_DATA!$C:$C,"S"))</f>
        <v/>
      </c>
      <c r="F32" s="761" t="str">
        <f>IF($C32=0,"",SUMIFS(INPUT_DATA!AV:AV,INPUT_DATA!$A:$A,$C32,INPUT_DATA!$C:$C,"S"))</f>
        <v/>
      </c>
      <c r="G32" s="761" t="str">
        <f>IF($C32=0,"",SUMIFS(INPUT_DATA!AW:AW,INPUT_DATA!$A:$A,$C32,INPUT_DATA!$C:$C,"S"))</f>
        <v/>
      </c>
      <c r="H32" s="763" t="str">
        <f t="shared" si="0"/>
        <v/>
      </c>
      <c r="I32" s="761" t="str">
        <f>IF($C32=0,"",SUMIFS(INPUT_DATA!AY:AY,INPUT_DATA!$A:$A,$C32,INPUT_DATA!$C:$C,"S"))</f>
        <v/>
      </c>
      <c r="J32" s="761" t="str">
        <f>IF($C32=0,"",SUMIFS(INPUT_DATA!AZ:AZ,INPUT_DATA!$A:$A,$C32,INPUT_DATA!$C:$C,"S"))</f>
        <v/>
      </c>
      <c r="K32" s="761" t="str">
        <f>IF($C32=0,"",SUMIFS(INPUT_DATA!BA:BA,INPUT_DATA!$A:$A,$C32,INPUT_DATA!$C:$C,"S"))</f>
        <v/>
      </c>
      <c r="L32" s="761" t="str">
        <f>IF($C32=0,"",SUMIFS(INPUT_DATA!BB:BB,INPUT_DATA!$A:$A,$C32,INPUT_DATA!$C:$C,"S"))</f>
        <v/>
      </c>
      <c r="M32" s="761" t="str">
        <f>IF($C32=0,"",SUMIFS(INPUT_DATA!BC:BC,INPUT_DATA!$A:$A,$C32,INPUT_DATA!$C:$C,"S"))</f>
        <v/>
      </c>
      <c r="N32" s="761" t="str">
        <f>IF($C32=0,"",SUMIFS(INPUT_DATA!BD:BD,INPUT_DATA!$A:$A,$C32,INPUT_DATA!$C:$C,"S"))</f>
        <v/>
      </c>
      <c r="O32" s="761" t="str">
        <f>IF($C32=0,"",SUMIFS(INPUT_DATA!BE:BE,INPUT_DATA!$A:$A,$C32,INPUT_DATA!$C:$C,"S"))</f>
        <v/>
      </c>
      <c r="P32" s="761" t="str">
        <f>IF($C32=0,"",SUMIFS(INPUT_DATA!BF:BF,INPUT_DATA!$A:$A,$C32,INPUT_DATA!$C:$C,"S"))</f>
        <v/>
      </c>
      <c r="Q32" s="767" t="str">
        <f t="shared" si="5"/>
        <v/>
      </c>
      <c r="R32" s="769" t="str">
        <f>IF($C32=0,"",SUMIFS(INPUT_DATA!BH:BH,INPUT_DATA!$A:$A,$C32,INPUT_DATA!$C:$C,"S"))</f>
        <v/>
      </c>
      <c r="S32" s="769" t="str">
        <f>IF($C32=0,"",SUMIFS(INPUT_DATA!BI:BI,INPUT_DATA!$A:$A,$C32,INPUT_DATA!$C:$C,"S"))</f>
        <v/>
      </c>
      <c r="T32" s="767" t="str">
        <f t="shared" si="6"/>
        <v/>
      </c>
      <c r="U32" s="772" t="str">
        <f>IF($C32=0,"",SUMIFS(INPUT_DATA!BL:BL,INPUT_DATA!$A:$A,$C32,INPUT_DATA!$C:$C,"S"))</f>
        <v/>
      </c>
      <c r="V32" s="155" t="str">
        <f t="shared" si="1"/>
        <v/>
      </c>
      <c r="W32" s="149"/>
      <c r="X32" s="749" t="str">
        <f>IF($C32=0,"",SUMIFS(INPUT_DATA!AU:AU,INPUT_DATA!$A:$A,$C32,INPUT_DATA!$C:$C,"D"))</f>
        <v/>
      </c>
      <c r="Y32" s="761" t="str">
        <f>IF($C32=0,"",SUMIFS(INPUT_DATA!AV:AV,INPUT_DATA!$A:$A,$C32,INPUT_DATA!$C:$C,"D"))</f>
        <v/>
      </c>
      <c r="Z32" s="761" t="str">
        <f>IF($C32=0,"",SUMIFS(INPUT_DATA!AW:AW,INPUT_DATA!$A:$A,$C32,INPUT_DATA!$C:$C,"D"))</f>
        <v/>
      </c>
      <c r="AA32" s="762" t="str">
        <f t="shared" si="2"/>
        <v/>
      </c>
      <c r="AB32" s="761" t="str">
        <f>IF($C32=0,"",SUMIFS(INPUT_DATA!AX:AX,INPUT_DATA!$A:$A,$C32,INPUT_DATA!$C:$C,"D"))</f>
        <v/>
      </c>
      <c r="AC32" s="761" t="str">
        <f>IF($C32=0,"",SUMIFS(INPUT_DATA!AY:AY,INPUT_DATA!$A:$A,$C32,INPUT_DATA!$C:$C,"D"))</f>
        <v/>
      </c>
      <c r="AD32" s="761" t="str">
        <f>IF($C32=0,"",SUMIFS(INPUT_DATA!AZ:AZ,INPUT_DATA!$A:$A,$C32,INPUT_DATA!$C:$C,"D"))</f>
        <v/>
      </c>
      <c r="AE32" s="761" t="str">
        <f>IF($C32=0,"",SUMIFS(INPUT_DATA!BA:BA,INPUT_DATA!$A:$A,$C32,INPUT_DATA!$C:$C,"D"))</f>
        <v/>
      </c>
      <c r="AF32" s="761" t="str">
        <f>IF($C32=0,"",SUMIFS(INPUT_DATA!BB:BB,INPUT_DATA!$A:$A,$C32,INPUT_DATA!$C:$C,"D"))</f>
        <v/>
      </c>
      <c r="AG32" s="761" t="str">
        <f>IF($C32=0,"",SUMIFS(INPUT_DATA!BC:BC,INPUT_DATA!$A:$A,$C32,INPUT_DATA!$C:$C,"D"))</f>
        <v/>
      </c>
      <c r="AH32" s="761" t="str">
        <f>IF($C32=0,"",SUMIFS(INPUT_DATA!BD:BD,INPUT_DATA!$A:$A,$C32,INPUT_DATA!$C:$C,"D"))</f>
        <v/>
      </c>
      <c r="AI32" s="761" t="str">
        <f>IF($C32=0,"",SUMIFS(INPUT_DATA!BE:BE,INPUT_DATA!$A:$A,$C32,INPUT_DATA!$C:$C,"D"))</f>
        <v/>
      </c>
      <c r="AJ32" s="314" t="str">
        <f t="shared" si="3"/>
        <v/>
      </c>
      <c r="AK32" s="769" t="str">
        <f>IF($C32=0,"",SUMIFS(INPUT_DATA!BG:BG,INPUT_DATA!$A:$A,$C32,INPUT_DATA!$C:$C,"D"))</f>
        <v/>
      </c>
      <c r="AL32" s="769" t="str">
        <f>IF($C32=0,"",SUMIFS(INPUT_DATA!BH:BH,INPUT_DATA!$A:$A,$C32,INPUT_DATA!$C:$C,"D"))</f>
        <v/>
      </c>
      <c r="AM32" s="769" t="str">
        <f>IF($C32=0,"",SUMIFS(INPUT_DATA!BI:BI,INPUT_DATA!$A:$A,$C32,INPUT_DATA!$C:$C,"D"))</f>
        <v/>
      </c>
      <c r="AN32" s="767" t="str">
        <f t="shared" si="7"/>
        <v/>
      </c>
      <c r="AO32" s="772" t="str">
        <f>IF($C32=0,"",SUMIFS(INPUT_DATA!BK:BK,INPUT_DATA!$A:$A,$C32,INPUT_DATA!$C:$C,"D"))</f>
        <v/>
      </c>
      <c r="AP32" s="354" t="str">
        <f t="shared" si="8"/>
        <v/>
      </c>
      <c r="AQ32" s="149"/>
      <c r="AS32" s="354" t="str">
        <f t="shared" si="9"/>
        <v/>
      </c>
      <c r="AU32" s="378" t="str">
        <f>IF($C32=0,"",'03 - Monthly Asset Follow up'!E36+'03 - Monthly Asset Follow up'!F36-'03 - Monthly Asset Follow up'!U36+'03 - Monthly Asset Follow up'!X36-H32)</f>
        <v/>
      </c>
      <c r="AV32" s="378" t="str">
        <f>IF($C32=0,"",'03 - Monthly Asset Follow up'!BD36+'03 - Monthly Asset Follow up'!BE36-'03 - Monthly Asset Follow up'!BT36+'03 - Monthly Asset Follow up'!BW36-AA32)</f>
        <v/>
      </c>
      <c r="AX32" s="154"/>
    </row>
    <row r="33" spans="2:50" x14ac:dyDescent="0.2">
      <c r="B33" s="753" t="str">
        <f t="shared" si="4"/>
        <v/>
      </c>
      <c r="C33" s="756">
        <f>'03 - Monthly Asset Follow up'!B37</f>
        <v>0</v>
      </c>
      <c r="D33" s="149"/>
      <c r="E33" s="749" t="str">
        <f>IF($C33=0,"",SUMIFS(INPUT_DATA!AU:AU,INPUT_DATA!$A:$A,$C33,INPUT_DATA!$C:$C,"S"))</f>
        <v/>
      </c>
      <c r="F33" s="761" t="str">
        <f>IF($C33=0,"",SUMIFS(INPUT_DATA!AV:AV,INPUT_DATA!$A:$A,$C33,INPUT_DATA!$C:$C,"S"))</f>
        <v/>
      </c>
      <c r="G33" s="761" t="str">
        <f>IF($C33=0,"",SUMIFS(INPUT_DATA!AW:AW,INPUT_DATA!$A:$A,$C33,INPUT_DATA!$C:$C,"S"))</f>
        <v/>
      </c>
      <c r="H33" s="763" t="str">
        <f t="shared" si="0"/>
        <v/>
      </c>
      <c r="I33" s="761" t="str">
        <f>IF($C33=0,"",SUMIFS(INPUT_DATA!AY:AY,INPUT_DATA!$A:$A,$C33,INPUT_DATA!$C:$C,"S"))</f>
        <v/>
      </c>
      <c r="J33" s="761" t="str">
        <f>IF($C33=0,"",SUMIFS(INPUT_DATA!AZ:AZ,INPUT_DATA!$A:$A,$C33,INPUT_DATA!$C:$C,"S"))</f>
        <v/>
      </c>
      <c r="K33" s="761" t="str">
        <f>IF($C33=0,"",SUMIFS(INPUT_DATA!BA:BA,INPUT_DATA!$A:$A,$C33,INPUT_DATA!$C:$C,"S"))</f>
        <v/>
      </c>
      <c r="L33" s="761" t="str">
        <f>IF($C33=0,"",SUMIFS(INPUT_DATA!BB:BB,INPUT_DATA!$A:$A,$C33,INPUT_DATA!$C:$C,"S"))</f>
        <v/>
      </c>
      <c r="M33" s="761" t="str">
        <f>IF($C33=0,"",SUMIFS(INPUT_DATA!BC:BC,INPUT_DATA!$A:$A,$C33,INPUT_DATA!$C:$C,"S"))</f>
        <v/>
      </c>
      <c r="N33" s="761" t="str">
        <f>IF($C33=0,"",SUMIFS(INPUT_DATA!BD:BD,INPUT_DATA!$A:$A,$C33,INPUT_DATA!$C:$C,"S"))</f>
        <v/>
      </c>
      <c r="O33" s="761" t="str">
        <f>IF($C33=0,"",SUMIFS(INPUT_DATA!BE:BE,INPUT_DATA!$A:$A,$C33,INPUT_DATA!$C:$C,"S"))</f>
        <v/>
      </c>
      <c r="P33" s="761" t="str">
        <f>IF($C33=0,"",SUMIFS(INPUT_DATA!BF:BF,INPUT_DATA!$A:$A,$C33,INPUT_DATA!$C:$C,"S"))</f>
        <v/>
      </c>
      <c r="Q33" s="767" t="str">
        <f t="shared" si="5"/>
        <v/>
      </c>
      <c r="R33" s="769" t="str">
        <f>IF($C33=0,"",SUMIFS(INPUT_DATA!BH:BH,INPUT_DATA!$A:$A,$C33,INPUT_DATA!$C:$C,"S"))</f>
        <v/>
      </c>
      <c r="S33" s="769" t="str">
        <f>IF($C33=0,"",SUMIFS(INPUT_DATA!BI:BI,INPUT_DATA!$A:$A,$C33,INPUT_DATA!$C:$C,"S"))</f>
        <v/>
      </c>
      <c r="T33" s="767" t="str">
        <f t="shared" si="6"/>
        <v/>
      </c>
      <c r="U33" s="772" t="str">
        <f>IF($C33=0,"",SUMIFS(INPUT_DATA!BL:BL,INPUT_DATA!$A:$A,$C33,INPUT_DATA!$C:$C,"S"))</f>
        <v/>
      </c>
      <c r="V33" s="155" t="str">
        <f t="shared" si="1"/>
        <v/>
      </c>
      <c r="W33" s="149"/>
      <c r="X33" s="749" t="str">
        <f>IF($C33=0,"",SUMIFS(INPUT_DATA!AU:AU,INPUT_DATA!$A:$A,$C33,INPUT_DATA!$C:$C,"D"))</f>
        <v/>
      </c>
      <c r="Y33" s="761" t="str">
        <f>IF($C33=0,"",SUMIFS(INPUT_DATA!AV:AV,INPUT_DATA!$A:$A,$C33,INPUT_DATA!$C:$C,"D"))</f>
        <v/>
      </c>
      <c r="Z33" s="761" t="str">
        <f>IF($C33=0,"",SUMIFS(INPUT_DATA!AW:AW,INPUT_DATA!$A:$A,$C33,INPUT_DATA!$C:$C,"D"))</f>
        <v/>
      </c>
      <c r="AA33" s="762" t="str">
        <f t="shared" si="2"/>
        <v/>
      </c>
      <c r="AB33" s="761" t="str">
        <f>IF($C33=0,"",SUMIFS(INPUT_DATA!AX:AX,INPUT_DATA!$A:$A,$C33,INPUT_DATA!$C:$C,"D"))</f>
        <v/>
      </c>
      <c r="AC33" s="761" t="str">
        <f>IF($C33=0,"",SUMIFS(INPUT_DATA!AY:AY,INPUT_DATA!$A:$A,$C33,INPUT_DATA!$C:$C,"D"))</f>
        <v/>
      </c>
      <c r="AD33" s="761" t="str">
        <f>IF($C33=0,"",SUMIFS(INPUT_DATA!AZ:AZ,INPUT_DATA!$A:$A,$C33,INPUT_DATA!$C:$C,"D"))</f>
        <v/>
      </c>
      <c r="AE33" s="761" t="str">
        <f>IF($C33=0,"",SUMIFS(INPUT_DATA!BA:BA,INPUT_DATA!$A:$A,$C33,INPUT_DATA!$C:$C,"D"))</f>
        <v/>
      </c>
      <c r="AF33" s="761" t="str">
        <f>IF($C33=0,"",SUMIFS(INPUT_DATA!BB:BB,INPUT_DATA!$A:$A,$C33,INPUT_DATA!$C:$C,"D"))</f>
        <v/>
      </c>
      <c r="AG33" s="761" t="str">
        <f>IF($C33=0,"",SUMIFS(INPUT_DATA!BC:BC,INPUT_DATA!$A:$A,$C33,INPUT_DATA!$C:$C,"D"))</f>
        <v/>
      </c>
      <c r="AH33" s="761" t="str">
        <f>IF($C33=0,"",SUMIFS(INPUT_DATA!BD:BD,INPUT_DATA!$A:$A,$C33,INPUT_DATA!$C:$C,"D"))</f>
        <v/>
      </c>
      <c r="AI33" s="761" t="str">
        <f>IF($C33=0,"",SUMIFS(INPUT_DATA!BE:BE,INPUT_DATA!$A:$A,$C33,INPUT_DATA!$C:$C,"D"))</f>
        <v/>
      </c>
      <c r="AJ33" s="314" t="str">
        <f t="shared" si="3"/>
        <v/>
      </c>
      <c r="AK33" s="769" t="str">
        <f>IF($C33=0,"",SUMIFS(INPUT_DATA!BG:BG,INPUT_DATA!$A:$A,$C33,INPUT_DATA!$C:$C,"D"))</f>
        <v/>
      </c>
      <c r="AL33" s="769" t="str">
        <f>IF($C33=0,"",SUMIFS(INPUT_DATA!BH:BH,INPUT_DATA!$A:$A,$C33,INPUT_DATA!$C:$C,"D"))</f>
        <v/>
      </c>
      <c r="AM33" s="769" t="str">
        <f>IF($C33=0,"",SUMIFS(INPUT_DATA!BI:BI,INPUT_DATA!$A:$A,$C33,INPUT_DATA!$C:$C,"D"))</f>
        <v/>
      </c>
      <c r="AN33" s="767" t="str">
        <f t="shared" si="7"/>
        <v/>
      </c>
      <c r="AO33" s="772" t="str">
        <f>IF($C33=0,"",SUMIFS(INPUT_DATA!BK:BK,INPUT_DATA!$A:$A,$C33,INPUT_DATA!$C:$C,"D"))</f>
        <v/>
      </c>
      <c r="AP33" s="354" t="str">
        <f t="shared" si="8"/>
        <v/>
      </c>
      <c r="AQ33" s="149"/>
      <c r="AS33" s="354" t="str">
        <f t="shared" si="9"/>
        <v/>
      </c>
      <c r="AU33" s="378" t="str">
        <f>IF($C33=0,"",'03 - Monthly Asset Follow up'!E37+'03 - Monthly Asset Follow up'!F37-'03 - Monthly Asset Follow up'!U37+'03 - Monthly Asset Follow up'!X37-H33)</f>
        <v/>
      </c>
      <c r="AV33" s="378" t="str">
        <f>IF($C33=0,"",'03 - Monthly Asset Follow up'!BD37+'03 - Monthly Asset Follow up'!BE37-'03 - Monthly Asset Follow up'!BT37+'03 - Monthly Asset Follow up'!BW37-AA33)</f>
        <v/>
      </c>
      <c r="AX33" s="154"/>
    </row>
    <row r="34" spans="2:50" x14ac:dyDescent="0.2">
      <c r="B34" s="753" t="str">
        <f t="shared" si="4"/>
        <v/>
      </c>
      <c r="C34" s="756">
        <f>'03 - Monthly Asset Follow up'!B38</f>
        <v>0</v>
      </c>
      <c r="D34" s="149"/>
      <c r="E34" s="749" t="str">
        <f>IF($C34=0,"",SUMIFS(INPUT_DATA!AU:AU,INPUT_DATA!$A:$A,$C34,INPUT_DATA!$C:$C,"S"))</f>
        <v/>
      </c>
      <c r="F34" s="761" t="str">
        <f>IF($C34=0,"",SUMIFS(INPUT_DATA!AV:AV,INPUT_DATA!$A:$A,$C34,INPUT_DATA!$C:$C,"S"))</f>
        <v/>
      </c>
      <c r="G34" s="761" t="str">
        <f>IF($C34=0,"",SUMIFS(INPUT_DATA!AW:AW,INPUT_DATA!$A:$A,$C34,INPUT_DATA!$C:$C,"S"))</f>
        <v/>
      </c>
      <c r="H34" s="763" t="str">
        <f t="shared" si="0"/>
        <v/>
      </c>
      <c r="I34" s="761" t="str">
        <f>IF($C34=0,"",SUMIFS(INPUT_DATA!AY:AY,INPUT_DATA!$A:$A,$C34,INPUT_DATA!$C:$C,"S"))</f>
        <v/>
      </c>
      <c r="J34" s="761" t="str">
        <f>IF($C34=0,"",SUMIFS(INPUT_DATA!AZ:AZ,INPUT_DATA!$A:$A,$C34,INPUT_DATA!$C:$C,"S"))</f>
        <v/>
      </c>
      <c r="K34" s="761" t="str">
        <f>IF($C34=0,"",SUMIFS(INPUT_DATA!BA:BA,INPUT_DATA!$A:$A,$C34,INPUT_DATA!$C:$C,"S"))</f>
        <v/>
      </c>
      <c r="L34" s="761" t="str">
        <f>IF($C34=0,"",SUMIFS(INPUT_DATA!BB:BB,INPUT_DATA!$A:$A,$C34,INPUT_DATA!$C:$C,"S"))</f>
        <v/>
      </c>
      <c r="M34" s="761" t="str">
        <f>IF($C34=0,"",SUMIFS(INPUT_DATA!BC:BC,INPUT_DATA!$A:$A,$C34,INPUT_DATA!$C:$C,"S"))</f>
        <v/>
      </c>
      <c r="N34" s="761" t="str">
        <f>IF($C34=0,"",SUMIFS(INPUT_DATA!BD:BD,INPUT_DATA!$A:$A,$C34,INPUT_DATA!$C:$C,"S"))</f>
        <v/>
      </c>
      <c r="O34" s="761" t="str">
        <f>IF($C34=0,"",SUMIFS(INPUT_DATA!BE:BE,INPUT_DATA!$A:$A,$C34,INPUT_DATA!$C:$C,"S"))</f>
        <v/>
      </c>
      <c r="P34" s="761" t="str">
        <f>IF($C34=0,"",SUMIFS(INPUT_DATA!BF:BF,INPUT_DATA!$A:$A,$C34,INPUT_DATA!$C:$C,"S"))</f>
        <v/>
      </c>
      <c r="Q34" s="767" t="str">
        <f t="shared" si="5"/>
        <v/>
      </c>
      <c r="R34" s="769" t="str">
        <f>IF($C34=0,"",SUMIFS(INPUT_DATA!BH:BH,INPUT_DATA!$A:$A,$C34,INPUT_DATA!$C:$C,"S"))</f>
        <v/>
      </c>
      <c r="S34" s="769" t="str">
        <f>IF($C34=0,"",SUMIFS(INPUT_DATA!BI:BI,INPUT_DATA!$A:$A,$C34,INPUT_DATA!$C:$C,"S"))</f>
        <v/>
      </c>
      <c r="T34" s="767" t="str">
        <f t="shared" si="6"/>
        <v/>
      </c>
      <c r="U34" s="772" t="str">
        <f>IF($C34=0,"",SUMIFS(INPUT_DATA!BL:BL,INPUT_DATA!$A:$A,$C34,INPUT_DATA!$C:$C,"S"))</f>
        <v/>
      </c>
      <c r="V34" s="155" t="str">
        <f t="shared" si="1"/>
        <v/>
      </c>
      <c r="W34" s="149"/>
      <c r="X34" s="749" t="str">
        <f>IF($C34=0,"",SUMIFS(INPUT_DATA!AU:AU,INPUT_DATA!$A:$A,$C34,INPUT_DATA!$C:$C,"D"))</f>
        <v/>
      </c>
      <c r="Y34" s="761" t="str">
        <f>IF($C34=0,"",SUMIFS(INPUT_DATA!AV:AV,INPUT_DATA!$A:$A,$C34,INPUT_DATA!$C:$C,"D"))</f>
        <v/>
      </c>
      <c r="Z34" s="761" t="str">
        <f>IF($C34=0,"",SUMIFS(INPUT_DATA!AW:AW,INPUT_DATA!$A:$A,$C34,INPUT_DATA!$C:$C,"D"))</f>
        <v/>
      </c>
      <c r="AA34" s="762" t="str">
        <f t="shared" si="2"/>
        <v/>
      </c>
      <c r="AB34" s="761" t="str">
        <f>IF($C34=0,"",SUMIFS(INPUT_DATA!AX:AX,INPUT_DATA!$A:$A,$C34,INPUT_DATA!$C:$C,"D"))</f>
        <v/>
      </c>
      <c r="AC34" s="761" t="str">
        <f>IF($C34=0,"",SUMIFS(INPUT_DATA!AY:AY,INPUT_DATA!$A:$A,$C34,INPUT_DATA!$C:$C,"D"))</f>
        <v/>
      </c>
      <c r="AD34" s="761" t="str">
        <f>IF($C34=0,"",SUMIFS(INPUT_DATA!AZ:AZ,INPUT_DATA!$A:$A,$C34,INPUT_DATA!$C:$C,"D"))</f>
        <v/>
      </c>
      <c r="AE34" s="761" t="str">
        <f>IF($C34=0,"",SUMIFS(INPUT_DATA!BA:BA,INPUT_DATA!$A:$A,$C34,INPUT_DATA!$C:$C,"D"))</f>
        <v/>
      </c>
      <c r="AF34" s="761" t="str">
        <f>IF($C34=0,"",SUMIFS(INPUT_DATA!BB:BB,INPUT_DATA!$A:$A,$C34,INPUT_DATA!$C:$C,"D"))</f>
        <v/>
      </c>
      <c r="AG34" s="761" t="str">
        <f>IF($C34=0,"",SUMIFS(INPUT_DATA!BC:BC,INPUT_DATA!$A:$A,$C34,INPUT_DATA!$C:$C,"D"))</f>
        <v/>
      </c>
      <c r="AH34" s="761" t="str">
        <f>IF($C34=0,"",SUMIFS(INPUT_DATA!BD:BD,INPUT_DATA!$A:$A,$C34,INPUT_DATA!$C:$C,"D"))</f>
        <v/>
      </c>
      <c r="AI34" s="761" t="str">
        <f>IF($C34=0,"",SUMIFS(INPUT_DATA!BE:BE,INPUT_DATA!$A:$A,$C34,INPUT_DATA!$C:$C,"D"))</f>
        <v/>
      </c>
      <c r="AJ34" s="314" t="str">
        <f t="shared" si="3"/>
        <v/>
      </c>
      <c r="AK34" s="769" t="str">
        <f>IF($C34=0,"",SUMIFS(INPUT_DATA!BG:BG,INPUT_DATA!$A:$A,$C34,INPUT_DATA!$C:$C,"D"))</f>
        <v/>
      </c>
      <c r="AL34" s="769" t="str">
        <f>IF($C34=0,"",SUMIFS(INPUT_DATA!BH:BH,INPUT_DATA!$A:$A,$C34,INPUT_DATA!$C:$C,"D"))</f>
        <v/>
      </c>
      <c r="AM34" s="769" t="str">
        <f>IF($C34=0,"",SUMIFS(INPUT_DATA!BI:BI,INPUT_DATA!$A:$A,$C34,INPUT_DATA!$C:$C,"D"))</f>
        <v/>
      </c>
      <c r="AN34" s="767" t="str">
        <f t="shared" si="7"/>
        <v/>
      </c>
      <c r="AO34" s="772" t="str">
        <f>IF($C34=0,"",SUMIFS(INPUT_DATA!BK:BK,INPUT_DATA!$A:$A,$C34,INPUT_DATA!$C:$C,"D"))</f>
        <v/>
      </c>
      <c r="AP34" s="354" t="str">
        <f t="shared" si="8"/>
        <v/>
      </c>
      <c r="AQ34" s="149"/>
      <c r="AS34" s="354" t="str">
        <f t="shared" si="9"/>
        <v/>
      </c>
      <c r="AU34" s="378" t="str">
        <f>IF($C34=0,"",'03 - Monthly Asset Follow up'!E38+'03 - Monthly Asset Follow up'!F38-'03 - Monthly Asset Follow up'!U38+'03 - Monthly Asset Follow up'!X38-H34)</f>
        <v/>
      </c>
      <c r="AV34" s="378" t="str">
        <f>IF($C34=0,"",'03 - Monthly Asset Follow up'!BD38+'03 - Monthly Asset Follow up'!BE38-'03 - Monthly Asset Follow up'!BT38+'03 - Monthly Asset Follow up'!BW38-AA34)</f>
        <v/>
      </c>
      <c r="AX34" s="154"/>
    </row>
    <row r="35" spans="2:50" x14ac:dyDescent="0.2">
      <c r="B35" s="753" t="str">
        <f t="shared" si="4"/>
        <v/>
      </c>
      <c r="C35" s="756">
        <f>'03 - Monthly Asset Follow up'!B39</f>
        <v>0</v>
      </c>
      <c r="D35" s="149"/>
      <c r="E35" s="749" t="str">
        <f>IF($C35=0,"",SUMIFS(INPUT_DATA!AU:AU,INPUT_DATA!$A:$A,$C35,INPUT_DATA!$C:$C,"S"))</f>
        <v/>
      </c>
      <c r="F35" s="761" t="str">
        <f>IF($C35=0,"",SUMIFS(INPUT_DATA!AV:AV,INPUT_DATA!$A:$A,$C35,INPUT_DATA!$C:$C,"S"))</f>
        <v/>
      </c>
      <c r="G35" s="761" t="str">
        <f>IF($C35=0,"",SUMIFS(INPUT_DATA!AW:AW,INPUT_DATA!$A:$A,$C35,INPUT_DATA!$C:$C,"S"))</f>
        <v/>
      </c>
      <c r="H35" s="763" t="str">
        <f t="shared" si="0"/>
        <v/>
      </c>
      <c r="I35" s="761" t="str">
        <f>IF($C35=0,"",SUMIFS(INPUT_DATA!AY:AY,INPUT_DATA!$A:$A,$C35,INPUT_DATA!$C:$C,"S"))</f>
        <v/>
      </c>
      <c r="J35" s="761" t="str">
        <f>IF($C35=0,"",SUMIFS(INPUT_DATA!AZ:AZ,INPUT_DATA!$A:$A,$C35,INPUT_DATA!$C:$C,"S"))</f>
        <v/>
      </c>
      <c r="K35" s="761" t="str">
        <f>IF($C35=0,"",SUMIFS(INPUT_DATA!BA:BA,INPUT_DATA!$A:$A,$C35,INPUT_DATA!$C:$C,"S"))</f>
        <v/>
      </c>
      <c r="L35" s="761" t="str">
        <f>IF($C35=0,"",SUMIFS(INPUT_DATA!BB:BB,INPUT_DATA!$A:$A,$C35,INPUT_DATA!$C:$C,"S"))</f>
        <v/>
      </c>
      <c r="M35" s="761" t="str">
        <f>IF($C35=0,"",SUMIFS(INPUT_DATA!BC:BC,INPUT_DATA!$A:$A,$C35,INPUT_DATA!$C:$C,"S"))</f>
        <v/>
      </c>
      <c r="N35" s="761" t="str">
        <f>IF($C35=0,"",SUMIFS(INPUT_DATA!BD:BD,INPUT_DATA!$A:$A,$C35,INPUT_DATA!$C:$C,"S"))</f>
        <v/>
      </c>
      <c r="O35" s="761" t="str">
        <f>IF($C35=0,"",SUMIFS(INPUT_DATA!BE:BE,INPUT_DATA!$A:$A,$C35,INPUT_DATA!$C:$C,"S"))</f>
        <v/>
      </c>
      <c r="P35" s="761" t="str">
        <f>IF($C35=0,"",SUMIFS(INPUT_DATA!BF:BF,INPUT_DATA!$A:$A,$C35,INPUT_DATA!$C:$C,"S"))</f>
        <v/>
      </c>
      <c r="Q35" s="767" t="str">
        <f t="shared" si="5"/>
        <v/>
      </c>
      <c r="R35" s="769" t="str">
        <f>IF($C35=0,"",SUMIFS(INPUT_DATA!BH:BH,INPUT_DATA!$A:$A,$C35,INPUT_DATA!$C:$C,"S"))</f>
        <v/>
      </c>
      <c r="S35" s="769" t="str">
        <f>IF($C35=0,"",SUMIFS(INPUT_DATA!BI:BI,INPUT_DATA!$A:$A,$C35,INPUT_DATA!$C:$C,"S"))</f>
        <v/>
      </c>
      <c r="T35" s="767" t="str">
        <f t="shared" si="6"/>
        <v/>
      </c>
      <c r="U35" s="772" t="str">
        <f>IF($C35=0,"",SUMIFS(INPUT_DATA!BL:BL,INPUT_DATA!$A:$A,$C35,INPUT_DATA!$C:$C,"S"))</f>
        <v/>
      </c>
      <c r="V35" s="155" t="str">
        <f t="shared" si="1"/>
        <v/>
      </c>
      <c r="W35" s="149"/>
      <c r="X35" s="749" t="str">
        <f>IF($C35=0,"",SUMIFS(INPUT_DATA!AU:AU,INPUT_DATA!$A:$A,$C35,INPUT_DATA!$C:$C,"D"))</f>
        <v/>
      </c>
      <c r="Y35" s="761" t="str">
        <f>IF($C35=0,"",SUMIFS(INPUT_DATA!AV:AV,INPUT_DATA!$A:$A,$C35,INPUT_DATA!$C:$C,"D"))</f>
        <v/>
      </c>
      <c r="Z35" s="761" t="str">
        <f>IF($C35=0,"",SUMIFS(INPUT_DATA!AW:AW,INPUT_DATA!$A:$A,$C35,INPUT_DATA!$C:$C,"D"))</f>
        <v/>
      </c>
      <c r="AA35" s="762" t="str">
        <f t="shared" si="2"/>
        <v/>
      </c>
      <c r="AB35" s="761" t="str">
        <f>IF($C35=0,"",SUMIFS(INPUT_DATA!AX:AX,INPUT_DATA!$A:$A,$C35,INPUT_DATA!$C:$C,"D"))</f>
        <v/>
      </c>
      <c r="AC35" s="761" t="str">
        <f>IF($C35=0,"",SUMIFS(INPUT_DATA!AY:AY,INPUT_DATA!$A:$A,$C35,INPUT_DATA!$C:$C,"D"))</f>
        <v/>
      </c>
      <c r="AD35" s="761" t="str">
        <f>IF($C35=0,"",SUMIFS(INPUT_DATA!AZ:AZ,INPUT_DATA!$A:$A,$C35,INPUT_DATA!$C:$C,"D"))</f>
        <v/>
      </c>
      <c r="AE35" s="761" t="str">
        <f>IF($C35=0,"",SUMIFS(INPUT_DATA!BA:BA,INPUT_DATA!$A:$A,$C35,INPUT_DATA!$C:$C,"D"))</f>
        <v/>
      </c>
      <c r="AF35" s="761" t="str">
        <f>IF($C35=0,"",SUMIFS(INPUT_DATA!BB:BB,INPUT_DATA!$A:$A,$C35,INPUT_DATA!$C:$C,"D"))</f>
        <v/>
      </c>
      <c r="AG35" s="761" t="str">
        <f>IF($C35=0,"",SUMIFS(INPUT_DATA!BC:BC,INPUT_DATA!$A:$A,$C35,INPUT_DATA!$C:$C,"D"))</f>
        <v/>
      </c>
      <c r="AH35" s="761" t="str">
        <f>IF($C35=0,"",SUMIFS(INPUT_DATA!BD:BD,INPUT_DATA!$A:$A,$C35,INPUT_DATA!$C:$C,"D"))</f>
        <v/>
      </c>
      <c r="AI35" s="761" t="str">
        <f>IF($C35=0,"",SUMIFS(INPUT_DATA!BE:BE,INPUT_DATA!$A:$A,$C35,INPUT_DATA!$C:$C,"D"))</f>
        <v/>
      </c>
      <c r="AJ35" s="314" t="str">
        <f t="shared" si="3"/>
        <v/>
      </c>
      <c r="AK35" s="769" t="str">
        <f>IF($C35=0,"",SUMIFS(INPUT_DATA!BG:BG,INPUT_DATA!$A:$A,$C35,INPUT_DATA!$C:$C,"D"))</f>
        <v/>
      </c>
      <c r="AL35" s="769" t="str">
        <f>IF($C35=0,"",SUMIFS(INPUT_DATA!BH:BH,INPUT_DATA!$A:$A,$C35,INPUT_DATA!$C:$C,"D"))</f>
        <v/>
      </c>
      <c r="AM35" s="769" t="str">
        <f>IF($C35=0,"",SUMIFS(INPUT_DATA!BI:BI,INPUT_DATA!$A:$A,$C35,INPUT_DATA!$C:$C,"D"))</f>
        <v/>
      </c>
      <c r="AN35" s="767" t="str">
        <f t="shared" si="7"/>
        <v/>
      </c>
      <c r="AO35" s="772" t="str">
        <f>IF($C35=0,"",SUMIFS(INPUT_DATA!BK:BK,INPUT_DATA!$A:$A,$C35,INPUT_DATA!$C:$C,"D"))</f>
        <v/>
      </c>
      <c r="AP35" s="354" t="str">
        <f t="shared" si="8"/>
        <v/>
      </c>
      <c r="AQ35" s="149"/>
      <c r="AS35" s="354" t="str">
        <f t="shared" si="9"/>
        <v/>
      </c>
      <c r="AU35" s="378" t="str">
        <f>IF($C35=0,"",'03 - Monthly Asset Follow up'!E39+'03 - Monthly Asset Follow up'!F39-'03 - Monthly Asset Follow up'!U39+'03 - Monthly Asset Follow up'!X39-H35)</f>
        <v/>
      </c>
      <c r="AV35" s="378" t="str">
        <f>IF($C35=0,"",'03 - Monthly Asset Follow up'!BD39+'03 - Monthly Asset Follow up'!BE39-'03 - Monthly Asset Follow up'!BT39+'03 - Monthly Asset Follow up'!BW39-AA35)</f>
        <v/>
      </c>
      <c r="AX35" s="154"/>
    </row>
    <row r="36" spans="2:50" x14ac:dyDescent="0.2">
      <c r="B36" s="753" t="str">
        <f t="shared" si="4"/>
        <v/>
      </c>
      <c r="C36" s="756">
        <f>'03 - Monthly Asset Follow up'!B40</f>
        <v>0</v>
      </c>
      <c r="D36" s="149"/>
      <c r="E36" s="749" t="str">
        <f>IF($C36=0,"",SUMIFS(INPUT_DATA!AU:AU,INPUT_DATA!$A:$A,$C36,INPUT_DATA!$C:$C,"S"))</f>
        <v/>
      </c>
      <c r="F36" s="761" t="str">
        <f>IF($C36=0,"",SUMIFS(INPUT_DATA!AV:AV,INPUT_DATA!$A:$A,$C36,INPUT_DATA!$C:$C,"S"))</f>
        <v/>
      </c>
      <c r="G36" s="761" t="str">
        <f>IF($C36=0,"",SUMIFS(INPUT_DATA!AW:AW,INPUT_DATA!$A:$A,$C36,INPUT_DATA!$C:$C,"S"))</f>
        <v/>
      </c>
      <c r="H36" s="763" t="str">
        <f t="shared" si="0"/>
        <v/>
      </c>
      <c r="I36" s="761" t="str">
        <f>IF($C36=0,"",SUMIFS(INPUT_DATA!AY:AY,INPUT_DATA!$A:$A,$C36,INPUT_DATA!$C:$C,"S"))</f>
        <v/>
      </c>
      <c r="J36" s="761" t="str">
        <f>IF($C36=0,"",SUMIFS(INPUT_DATA!AZ:AZ,INPUT_DATA!$A:$A,$C36,INPUT_DATA!$C:$C,"S"))</f>
        <v/>
      </c>
      <c r="K36" s="761" t="str">
        <f>IF($C36=0,"",SUMIFS(INPUT_DATA!BA:BA,INPUT_DATA!$A:$A,$C36,INPUT_DATA!$C:$C,"S"))</f>
        <v/>
      </c>
      <c r="L36" s="761" t="str">
        <f>IF($C36=0,"",SUMIFS(INPUT_DATA!BB:BB,INPUT_DATA!$A:$A,$C36,INPUT_DATA!$C:$C,"S"))</f>
        <v/>
      </c>
      <c r="M36" s="761" t="str">
        <f>IF($C36=0,"",SUMIFS(INPUT_DATA!BC:BC,INPUT_DATA!$A:$A,$C36,INPUT_DATA!$C:$C,"S"))</f>
        <v/>
      </c>
      <c r="N36" s="761" t="str">
        <f>IF($C36=0,"",SUMIFS(INPUT_DATA!BD:BD,INPUT_DATA!$A:$A,$C36,INPUT_DATA!$C:$C,"S"))</f>
        <v/>
      </c>
      <c r="O36" s="761" t="str">
        <f>IF($C36=0,"",SUMIFS(INPUT_DATA!BE:BE,INPUT_DATA!$A:$A,$C36,INPUT_DATA!$C:$C,"S"))</f>
        <v/>
      </c>
      <c r="P36" s="761" t="str">
        <f>IF($C36=0,"",SUMIFS(INPUT_DATA!BF:BF,INPUT_DATA!$A:$A,$C36,INPUT_DATA!$C:$C,"S"))</f>
        <v/>
      </c>
      <c r="Q36" s="767" t="str">
        <f t="shared" si="5"/>
        <v/>
      </c>
      <c r="R36" s="769" t="str">
        <f>IF($C36=0,"",SUMIFS(INPUT_DATA!BH:BH,INPUT_DATA!$A:$A,$C36,INPUT_DATA!$C:$C,"S"))</f>
        <v/>
      </c>
      <c r="S36" s="769" t="str">
        <f>IF($C36=0,"",SUMIFS(INPUT_DATA!BI:BI,INPUT_DATA!$A:$A,$C36,INPUT_DATA!$C:$C,"S"))</f>
        <v/>
      </c>
      <c r="T36" s="767" t="str">
        <f t="shared" si="6"/>
        <v/>
      </c>
      <c r="U36" s="772" t="str">
        <f>IF($C36=0,"",SUMIFS(INPUT_DATA!BL:BL,INPUT_DATA!$A:$A,$C36,INPUT_DATA!$C:$C,"S"))</f>
        <v/>
      </c>
      <c r="V36" s="155" t="str">
        <f t="shared" si="1"/>
        <v/>
      </c>
      <c r="W36" s="149"/>
      <c r="X36" s="749" t="str">
        <f>IF($C36=0,"",SUMIFS(INPUT_DATA!AU:AU,INPUT_DATA!$A:$A,$C36,INPUT_DATA!$C:$C,"D"))</f>
        <v/>
      </c>
      <c r="Y36" s="761" t="str">
        <f>IF($C36=0,"",SUMIFS(INPUT_DATA!AV:AV,INPUT_DATA!$A:$A,$C36,INPUT_DATA!$C:$C,"D"))</f>
        <v/>
      </c>
      <c r="Z36" s="761" t="str">
        <f>IF($C36=0,"",SUMIFS(INPUT_DATA!AW:AW,INPUT_DATA!$A:$A,$C36,INPUT_DATA!$C:$C,"D"))</f>
        <v/>
      </c>
      <c r="AA36" s="762" t="str">
        <f t="shared" si="2"/>
        <v/>
      </c>
      <c r="AB36" s="761" t="str">
        <f>IF($C36=0,"",SUMIFS(INPUT_DATA!AX:AX,INPUT_DATA!$A:$A,$C36,INPUT_DATA!$C:$C,"D"))</f>
        <v/>
      </c>
      <c r="AC36" s="761" t="str">
        <f>IF($C36=0,"",SUMIFS(INPUT_DATA!AY:AY,INPUT_DATA!$A:$A,$C36,INPUT_DATA!$C:$C,"D"))</f>
        <v/>
      </c>
      <c r="AD36" s="761" t="str">
        <f>IF($C36=0,"",SUMIFS(INPUT_DATA!AZ:AZ,INPUT_DATA!$A:$A,$C36,INPUT_DATA!$C:$C,"D"))</f>
        <v/>
      </c>
      <c r="AE36" s="761" t="str">
        <f>IF($C36=0,"",SUMIFS(INPUT_DATA!BA:BA,INPUT_DATA!$A:$A,$C36,INPUT_DATA!$C:$C,"D"))</f>
        <v/>
      </c>
      <c r="AF36" s="761" t="str">
        <f>IF($C36=0,"",SUMIFS(INPUT_DATA!BB:BB,INPUT_DATA!$A:$A,$C36,INPUT_DATA!$C:$C,"D"))</f>
        <v/>
      </c>
      <c r="AG36" s="761" t="str">
        <f>IF($C36=0,"",SUMIFS(INPUT_DATA!BC:BC,INPUT_DATA!$A:$A,$C36,INPUT_DATA!$C:$C,"D"))</f>
        <v/>
      </c>
      <c r="AH36" s="761" t="str">
        <f>IF($C36=0,"",SUMIFS(INPUT_DATA!BD:BD,INPUT_DATA!$A:$A,$C36,INPUT_DATA!$C:$C,"D"))</f>
        <v/>
      </c>
      <c r="AI36" s="761" t="str">
        <f>IF($C36=0,"",SUMIFS(INPUT_DATA!BE:BE,INPUT_DATA!$A:$A,$C36,INPUT_DATA!$C:$C,"D"))</f>
        <v/>
      </c>
      <c r="AJ36" s="314" t="str">
        <f t="shared" si="3"/>
        <v/>
      </c>
      <c r="AK36" s="769" t="str">
        <f>IF($C36=0,"",SUMIFS(INPUT_DATA!BG:BG,INPUT_DATA!$A:$A,$C36,INPUT_DATA!$C:$C,"D"))</f>
        <v/>
      </c>
      <c r="AL36" s="769" t="str">
        <f>IF($C36=0,"",SUMIFS(INPUT_DATA!BH:BH,INPUT_DATA!$A:$A,$C36,INPUT_DATA!$C:$C,"D"))</f>
        <v/>
      </c>
      <c r="AM36" s="769" t="str">
        <f>IF($C36=0,"",SUMIFS(INPUT_DATA!BI:BI,INPUT_DATA!$A:$A,$C36,INPUT_DATA!$C:$C,"D"))</f>
        <v/>
      </c>
      <c r="AN36" s="767" t="str">
        <f t="shared" si="7"/>
        <v/>
      </c>
      <c r="AO36" s="772" t="str">
        <f>IF($C36=0,"",SUMIFS(INPUT_DATA!BK:BK,INPUT_DATA!$A:$A,$C36,INPUT_DATA!$C:$C,"D"))</f>
        <v/>
      </c>
      <c r="AP36" s="354" t="str">
        <f t="shared" si="8"/>
        <v/>
      </c>
      <c r="AQ36" s="149"/>
      <c r="AS36" s="354" t="str">
        <f t="shared" si="9"/>
        <v/>
      </c>
      <c r="AU36" s="378" t="str">
        <f>IF($C36=0,"",'03 - Monthly Asset Follow up'!E40+'03 - Monthly Asset Follow up'!F40-'03 - Monthly Asset Follow up'!U40+'03 - Monthly Asset Follow up'!X40-H36)</f>
        <v/>
      </c>
      <c r="AV36" s="378" t="str">
        <f>IF($C36=0,"",'03 - Monthly Asset Follow up'!BD40+'03 - Monthly Asset Follow up'!BE40-'03 - Monthly Asset Follow up'!BT40+'03 - Monthly Asset Follow up'!BW40-AA36)</f>
        <v/>
      </c>
      <c r="AX36" s="154"/>
    </row>
    <row r="37" spans="2:50" x14ac:dyDescent="0.2">
      <c r="B37" s="753" t="str">
        <f t="shared" si="4"/>
        <v/>
      </c>
      <c r="C37" s="756">
        <f>'03 - Monthly Asset Follow up'!B41</f>
        <v>0</v>
      </c>
      <c r="D37" s="149"/>
      <c r="E37" s="749" t="str">
        <f>IF($C37=0,"",SUMIFS(INPUT_DATA!AU:AU,INPUT_DATA!$A:$A,$C37,INPUT_DATA!$C:$C,"S"))</f>
        <v/>
      </c>
      <c r="F37" s="761" t="str">
        <f>IF($C37=0,"",SUMIFS(INPUT_DATA!AV:AV,INPUT_DATA!$A:$A,$C37,INPUT_DATA!$C:$C,"S"))</f>
        <v/>
      </c>
      <c r="G37" s="761" t="str">
        <f>IF($C37=0,"",SUMIFS(INPUT_DATA!AW:AW,INPUT_DATA!$A:$A,$C37,INPUT_DATA!$C:$C,"S"))</f>
        <v/>
      </c>
      <c r="H37" s="763" t="str">
        <f t="shared" si="0"/>
        <v/>
      </c>
      <c r="I37" s="761" t="str">
        <f>IF($C37=0,"",SUMIFS(INPUT_DATA!AY:AY,INPUT_DATA!$A:$A,$C37,INPUT_DATA!$C:$C,"S"))</f>
        <v/>
      </c>
      <c r="J37" s="761" t="str">
        <f>IF($C37=0,"",SUMIFS(INPUT_DATA!AZ:AZ,INPUT_DATA!$A:$A,$C37,INPUT_DATA!$C:$C,"S"))</f>
        <v/>
      </c>
      <c r="K37" s="761" t="str">
        <f>IF($C37=0,"",SUMIFS(INPUT_DATA!BA:BA,INPUT_DATA!$A:$A,$C37,INPUT_DATA!$C:$C,"S"))</f>
        <v/>
      </c>
      <c r="L37" s="761" t="str">
        <f>IF($C37=0,"",SUMIFS(INPUT_DATA!BB:BB,INPUT_DATA!$A:$A,$C37,INPUT_DATA!$C:$C,"S"))</f>
        <v/>
      </c>
      <c r="M37" s="761" t="str">
        <f>IF($C37=0,"",SUMIFS(INPUT_DATA!BC:BC,INPUT_DATA!$A:$A,$C37,INPUT_DATA!$C:$C,"S"))</f>
        <v/>
      </c>
      <c r="N37" s="761" t="str">
        <f>IF($C37=0,"",SUMIFS(INPUT_DATA!BD:BD,INPUT_DATA!$A:$A,$C37,INPUT_DATA!$C:$C,"S"))</f>
        <v/>
      </c>
      <c r="O37" s="761" t="str">
        <f>IF($C37=0,"",SUMIFS(INPUT_DATA!BE:BE,INPUT_DATA!$A:$A,$C37,INPUT_DATA!$C:$C,"S"))</f>
        <v/>
      </c>
      <c r="P37" s="761" t="str">
        <f>IF($C37=0,"",SUMIFS(INPUT_DATA!BF:BF,INPUT_DATA!$A:$A,$C37,INPUT_DATA!$C:$C,"S"))</f>
        <v/>
      </c>
      <c r="Q37" s="767" t="str">
        <f t="shared" si="5"/>
        <v/>
      </c>
      <c r="R37" s="769" t="str">
        <f>IF($C37=0,"",SUMIFS(INPUT_DATA!BH:BH,INPUT_DATA!$A:$A,$C37,INPUT_DATA!$C:$C,"S"))</f>
        <v/>
      </c>
      <c r="S37" s="769" t="str">
        <f>IF($C37=0,"",SUMIFS(INPUT_DATA!BI:BI,INPUT_DATA!$A:$A,$C37,INPUT_DATA!$C:$C,"S"))</f>
        <v/>
      </c>
      <c r="T37" s="767" t="str">
        <f t="shared" si="6"/>
        <v/>
      </c>
      <c r="U37" s="772" t="str">
        <f>IF($C37=0,"",SUMIFS(INPUT_DATA!BL:BL,INPUT_DATA!$A:$A,$C37,INPUT_DATA!$C:$C,"S"))</f>
        <v/>
      </c>
      <c r="V37" s="155" t="str">
        <f t="shared" si="1"/>
        <v/>
      </c>
      <c r="W37" s="149"/>
      <c r="X37" s="749" t="str">
        <f>IF($C37=0,"",SUMIFS(INPUT_DATA!AU:AU,INPUT_DATA!$A:$A,$C37,INPUT_DATA!$C:$C,"D"))</f>
        <v/>
      </c>
      <c r="Y37" s="761" t="str">
        <f>IF($C37=0,"",SUMIFS(INPUT_DATA!AV:AV,INPUT_DATA!$A:$A,$C37,INPUT_DATA!$C:$C,"D"))</f>
        <v/>
      </c>
      <c r="Z37" s="761" t="str">
        <f>IF($C37=0,"",SUMIFS(INPUT_DATA!AW:AW,INPUT_DATA!$A:$A,$C37,INPUT_DATA!$C:$C,"D"))</f>
        <v/>
      </c>
      <c r="AA37" s="762" t="str">
        <f t="shared" si="2"/>
        <v/>
      </c>
      <c r="AB37" s="761" t="str">
        <f>IF($C37=0,"",SUMIFS(INPUT_DATA!AX:AX,INPUT_DATA!$A:$A,$C37,INPUT_DATA!$C:$C,"D"))</f>
        <v/>
      </c>
      <c r="AC37" s="761" t="str">
        <f>IF($C37=0,"",SUMIFS(INPUT_DATA!AY:AY,INPUT_DATA!$A:$A,$C37,INPUT_DATA!$C:$C,"D"))</f>
        <v/>
      </c>
      <c r="AD37" s="761" t="str">
        <f>IF($C37=0,"",SUMIFS(INPUT_DATA!AZ:AZ,INPUT_DATA!$A:$A,$C37,INPUT_DATA!$C:$C,"D"))</f>
        <v/>
      </c>
      <c r="AE37" s="761" t="str">
        <f>IF($C37=0,"",SUMIFS(INPUT_DATA!BA:BA,INPUT_DATA!$A:$A,$C37,INPUT_DATA!$C:$C,"D"))</f>
        <v/>
      </c>
      <c r="AF37" s="761" t="str">
        <f>IF($C37=0,"",SUMIFS(INPUT_DATA!BB:BB,INPUT_DATA!$A:$A,$C37,INPUT_DATA!$C:$C,"D"))</f>
        <v/>
      </c>
      <c r="AG37" s="761" t="str">
        <f>IF($C37=0,"",SUMIFS(INPUT_DATA!BC:BC,INPUT_DATA!$A:$A,$C37,INPUT_DATA!$C:$C,"D"))</f>
        <v/>
      </c>
      <c r="AH37" s="761" t="str">
        <f>IF($C37=0,"",SUMIFS(INPUT_DATA!BD:BD,INPUT_DATA!$A:$A,$C37,INPUT_DATA!$C:$C,"D"))</f>
        <v/>
      </c>
      <c r="AI37" s="761" t="str">
        <f>IF($C37=0,"",SUMIFS(INPUT_DATA!BE:BE,INPUT_DATA!$A:$A,$C37,INPUT_DATA!$C:$C,"D"))</f>
        <v/>
      </c>
      <c r="AJ37" s="314" t="str">
        <f t="shared" si="3"/>
        <v/>
      </c>
      <c r="AK37" s="769" t="str">
        <f>IF($C37=0,"",SUMIFS(INPUT_DATA!BG:BG,INPUT_DATA!$A:$A,$C37,INPUT_DATA!$C:$C,"D"))</f>
        <v/>
      </c>
      <c r="AL37" s="769" t="str">
        <f>IF($C37=0,"",SUMIFS(INPUT_DATA!BH:BH,INPUT_DATA!$A:$A,$C37,INPUT_DATA!$C:$C,"D"))</f>
        <v/>
      </c>
      <c r="AM37" s="769" t="str">
        <f>IF($C37=0,"",SUMIFS(INPUT_DATA!BI:BI,INPUT_DATA!$A:$A,$C37,INPUT_DATA!$C:$C,"D"))</f>
        <v/>
      </c>
      <c r="AN37" s="767" t="str">
        <f t="shared" si="7"/>
        <v/>
      </c>
      <c r="AO37" s="772" t="str">
        <f>IF($C37=0,"",SUMIFS(INPUT_DATA!BK:BK,INPUT_DATA!$A:$A,$C37,INPUT_DATA!$C:$C,"D"))</f>
        <v/>
      </c>
      <c r="AP37" s="354" t="str">
        <f t="shared" si="8"/>
        <v/>
      </c>
      <c r="AQ37" s="149"/>
      <c r="AS37" s="354" t="str">
        <f t="shared" si="9"/>
        <v/>
      </c>
      <c r="AU37" s="378" t="str">
        <f>IF($C37=0,"",'03 - Monthly Asset Follow up'!E41+'03 - Monthly Asset Follow up'!F41-'03 - Monthly Asset Follow up'!U41+'03 - Monthly Asset Follow up'!X41-H37)</f>
        <v/>
      </c>
      <c r="AV37" s="378" t="str">
        <f>IF($C37=0,"",'03 - Monthly Asset Follow up'!BD41+'03 - Monthly Asset Follow up'!BE41-'03 - Monthly Asset Follow up'!BT41+'03 - Monthly Asset Follow up'!BW41-AA37)</f>
        <v/>
      </c>
      <c r="AX37" s="154"/>
    </row>
    <row r="38" spans="2:50" x14ac:dyDescent="0.2">
      <c r="B38" s="753" t="str">
        <f t="shared" si="4"/>
        <v/>
      </c>
      <c r="C38" s="756">
        <f>'03 - Monthly Asset Follow up'!B42</f>
        <v>0</v>
      </c>
      <c r="D38" s="149"/>
      <c r="E38" s="749" t="str">
        <f>IF($C38=0,"",SUMIFS(INPUT_DATA!AU:AU,INPUT_DATA!$A:$A,$C38,INPUT_DATA!$C:$C,"S"))</f>
        <v/>
      </c>
      <c r="F38" s="761" t="str">
        <f>IF($C38=0,"",SUMIFS(INPUT_DATA!AV:AV,INPUT_DATA!$A:$A,$C38,INPUT_DATA!$C:$C,"S"))</f>
        <v/>
      </c>
      <c r="G38" s="761" t="str">
        <f>IF($C38=0,"",SUMIFS(INPUT_DATA!AW:AW,INPUT_DATA!$A:$A,$C38,INPUT_DATA!$C:$C,"S"))</f>
        <v/>
      </c>
      <c r="H38" s="763" t="str">
        <f t="shared" si="0"/>
        <v/>
      </c>
      <c r="I38" s="761" t="str">
        <f>IF($C38=0,"",SUMIFS(INPUT_DATA!AY:AY,INPUT_DATA!$A:$A,$C38,INPUT_DATA!$C:$C,"S"))</f>
        <v/>
      </c>
      <c r="J38" s="761" t="str">
        <f>IF($C38=0,"",SUMIFS(INPUT_DATA!AZ:AZ,INPUT_DATA!$A:$A,$C38,INPUT_DATA!$C:$C,"S"))</f>
        <v/>
      </c>
      <c r="K38" s="761" t="str">
        <f>IF($C38=0,"",SUMIFS(INPUT_DATA!BA:BA,INPUT_DATA!$A:$A,$C38,INPUT_DATA!$C:$C,"S"))</f>
        <v/>
      </c>
      <c r="L38" s="761" t="str">
        <f>IF($C38=0,"",SUMIFS(INPUT_DATA!BB:BB,INPUT_DATA!$A:$A,$C38,INPUT_DATA!$C:$C,"S"))</f>
        <v/>
      </c>
      <c r="M38" s="761" t="str">
        <f>IF($C38=0,"",SUMIFS(INPUT_DATA!BC:BC,INPUT_DATA!$A:$A,$C38,INPUT_DATA!$C:$C,"S"))</f>
        <v/>
      </c>
      <c r="N38" s="761" t="str">
        <f>IF($C38=0,"",SUMIFS(INPUT_DATA!BD:BD,INPUT_DATA!$A:$A,$C38,INPUT_DATA!$C:$C,"S"))</f>
        <v/>
      </c>
      <c r="O38" s="761" t="str">
        <f>IF($C38=0,"",SUMIFS(INPUT_DATA!BE:BE,INPUT_DATA!$A:$A,$C38,INPUT_DATA!$C:$C,"S"))</f>
        <v/>
      </c>
      <c r="P38" s="761" t="str">
        <f>IF($C38=0,"",SUMIFS(INPUT_DATA!BF:BF,INPUT_DATA!$A:$A,$C38,INPUT_DATA!$C:$C,"S"))</f>
        <v/>
      </c>
      <c r="Q38" s="767" t="str">
        <f t="shared" si="5"/>
        <v/>
      </c>
      <c r="R38" s="769" t="str">
        <f>IF($C38=0,"",SUMIFS(INPUT_DATA!BH:BH,INPUT_DATA!$A:$A,$C38,INPUT_DATA!$C:$C,"S"))</f>
        <v/>
      </c>
      <c r="S38" s="769" t="str">
        <f>IF($C38=0,"",SUMIFS(INPUT_DATA!BI:BI,INPUT_DATA!$A:$A,$C38,INPUT_DATA!$C:$C,"S"))</f>
        <v/>
      </c>
      <c r="T38" s="767" t="str">
        <f t="shared" si="6"/>
        <v/>
      </c>
      <c r="U38" s="772" t="str">
        <f>IF($C38=0,"",SUMIFS(INPUT_DATA!BL:BL,INPUT_DATA!$A:$A,$C38,INPUT_DATA!$C:$C,"S"))</f>
        <v/>
      </c>
      <c r="V38" s="155" t="str">
        <f t="shared" si="1"/>
        <v/>
      </c>
      <c r="W38" s="149"/>
      <c r="X38" s="749" t="str">
        <f>IF($C38=0,"",SUMIFS(INPUT_DATA!AU:AU,INPUT_DATA!$A:$A,$C38,INPUT_DATA!$C:$C,"D"))</f>
        <v/>
      </c>
      <c r="Y38" s="761" t="str">
        <f>IF($C38=0,"",SUMIFS(INPUT_DATA!AV:AV,INPUT_DATA!$A:$A,$C38,INPUT_DATA!$C:$C,"D"))</f>
        <v/>
      </c>
      <c r="Z38" s="761" t="str">
        <f>IF($C38=0,"",SUMIFS(INPUT_DATA!AW:AW,INPUT_DATA!$A:$A,$C38,INPUT_DATA!$C:$C,"D"))</f>
        <v/>
      </c>
      <c r="AA38" s="762" t="str">
        <f t="shared" si="2"/>
        <v/>
      </c>
      <c r="AB38" s="761" t="str">
        <f>IF($C38=0,"",SUMIFS(INPUT_DATA!AX:AX,INPUT_DATA!$A:$A,$C38,INPUT_DATA!$C:$C,"D"))</f>
        <v/>
      </c>
      <c r="AC38" s="761" t="str">
        <f>IF($C38=0,"",SUMIFS(INPUT_DATA!AY:AY,INPUT_DATA!$A:$A,$C38,INPUT_DATA!$C:$C,"D"))</f>
        <v/>
      </c>
      <c r="AD38" s="761" t="str">
        <f>IF($C38=0,"",SUMIFS(INPUT_DATA!AZ:AZ,INPUT_DATA!$A:$A,$C38,INPUT_DATA!$C:$C,"D"))</f>
        <v/>
      </c>
      <c r="AE38" s="761" t="str">
        <f>IF($C38=0,"",SUMIFS(INPUT_DATA!BA:BA,INPUT_DATA!$A:$A,$C38,INPUT_DATA!$C:$C,"D"))</f>
        <v/>
      </c>
      <c r="AF38" s="761" t="str">
        <f>IF($C38=0,"",SUMIFS(INPUT_DATA!BB:BB,INPUT_DATA!$A:$A,$C38,INPUT_DATA!$C:$C,"D"))</f>
        <v/>
      </c>
      <c r="AG38" s="761" t="str">
        <f>IF($C38=0,"",SUMIFS(INPUT_DATA!BC:BC,INPUT_DATA!$A:$A,$C38,INPUT_DATA!$C:$C,"D"))</f>
        <v/>
      </c>
      <c r="AH38" s="761" t="str">
        <f>IF($C38=0,"",SUMIFS(INPUT_DATA!BD:BD,INPUT_DATA!$A:$A,$C38,INPUT_DATA!$C:$C,"D"))</f>
        <v/>
      </c>
      <c r="AI38" s="761" t="str">
        <f>IF($C38=0,"",SUMIFS(INPUT_DATA!BE:BE,INPUT_DATA!$A:$A,$C38,INPUT_DATA!$C:$C,"D"))</f>
        <v/>
      </c>
      <c r="AJ38" s="314" t="str">
        <f t="shared" si="3"/>
        <v/>
      </c>
      <c r="AK38" s="769" t="str">
        <f>IF($C38=0,"",SUMIFS(INPUT_DATA!BG:BG,INPUT_DATA!$A:$A,$C38,INPUT_DATA!$C:$C,"D"))</f>
        <v/>
      </c>
      <c r="AL38" s="769" t="str">
        <f>IF($C38=0,"",SUMIFS(INPUT_DATA!BH:BH,INPUT_DATA!$A:$A,$C38,INPUT_DATA!$C:$C,"D"))</f>
        <v/>
      </c>
      <c r="AM38" s="769" t="str">
        <f>IF($C38=0,"",SUMIFS(INPUT_DATA!BI:BI,INPUT_DATA!$A:$A,$C38,INPUT_DATA!$C:$C,"D"))</f>
        <v/>
      </c>
      <c r="AN38" s="767" t="str">
        <f t="shared" si="7"/>
        <v/>
      </c>
      <c r="AO38" s="772" t="str">
        <f>IF($C38=0,"",SUMIFS(INPUT_DATA!BK:BK,INPUT_DATA!$A:$A,$C38,INPUT_DATA!$C:$C,"D"))</f>
        <v/>
      </c>
      <c r="AP38" s="354" t="str">
        <f t="shared" si="8"/>
        <v/>
      </c>
      <c r="AQ38" s="149"/>
      <c r="AS38" s="354" t="str">
        <f t="shared" si="9"/>
        <v/>
      </c>
      <c r="AU38" s="378" t="str">
        <f>IF($C38=0,"",'03 - Monthly Asset Follow up'!E42+'03 - Monthly Asset Follow up'!F42-'03 - Monthly Asset Follow up'!U42+'03 - Monthly Asset Follow up'!X42-H38)</f>
        <v/>
      </c>
      <c r="AV38" s="378" t="str">
        <f>IF($C38=0,"",'03 - Monthly Asset Follow up'!BD42+'03 - Monthly Asset Follow up'!BE42-'03 - Monthly Asset Follow up'!BT42+'03 - Monthly Asset Follow up'!BW42-AA38)</f>
        <v/>
      </c>
      <c r="AX38" s="154"/>
    </row>
    <row r="39" spans="2:50" x14ac:dyDescent="0.2">
      <c r="B39" s="753" t="str">
        <f t="shared" si="4"/>
        <v/>
      </c>
      <c r="C39" s="756">
        <f>'03 - Monthly Asset Follow up'!B43</f>
        <v>0</v>
      </c>
      <c r="D39" s="149"/>
      <c r="E39" s="749" t="str">
        <f>IF($C39=0,"",SUMIFS(INPUT_DATA!AU:AU,INPUT_DATA!$A:$A,$C39,INPUT_DATA!$C:$C,"S"))</f>
        <v/>
      </c>
      <c r="F39" s="761" t="str">
        <f>IF($C39=0,"",SUMIFS(INPUT_DATA!AV:AV,INPUT_DATA!$A:$A,$C39,INPUT_DATA!$C:$C,"S"))</f>
        <v/>
      </c>
      <c r="G39" s="761" t="str">
        <f>IF($C39=0,"",SUMIFS(INPUT_DATA!AW:AW,INPUT_DATA!$A:$A,$C39,INPUT_DATA!$C:$C,"S"))</f>
        <v/>
      </c>
      <c r="H39" s="763" t="str">
        <f t="shared" si="0"/>
        <v/>
      </c>
      <c r="I39" s="761" t="str">
        <f>IF($C39=0,"",SUMIFS(INPUT_DATA!AY:AY,INPUT_DATA!$A:$A,$C39,INPUT_DATA!$C:$C,"S"))</f>
        <v/>
      </c>
      <c r="J39" s="761" t="str">
        <f>IF($C39=0,"",SUMIFS(INPUT_DATA!AZ:AZ,INPUT_DATA!$A:$A,$C39,INPUT_DATA!$C:$C,"S"))</f>
        <v/>
      </c>
      <c r="K39" s="761" t="str">
        <f>IF($C39=0,"",SUMIFS(INPUT_DATA!BA:BA,INPUT_DATA!$A:$A,$C39,INPUT_DATA!$C:$C,"S"))</f>
        <v/>
      </c>
      <c r="L39" s="761" t="str">
        <f>IF($C39=0,"",SUMIFS(INPUT_DATA!BB:BB,INPUT_DATA!$A:$A,$C39,INPUT_DATA!$C:$C,"S"))</f>
        <v/>
      </c>
      <c r="M39" s="761" t="str">
        <f>IF($C39=0,"",SUMIFS(INPUT_DATA!BC:BC,INPUT_DATA!$A:$A,$C39,INPUT_DATA!$C:$C,"S"))</f>
        <v/>
      </c>
      <c r="N39" s="761" t="str">
        <f>IF($C39=0,"",SUMIFS(INPUT_DATA!BD:BD,INPUT_DATA!$A:$A,$C39,INPUT_DATA!$C:$C,"S"))</f>
        <v/>
      </c>
      <c r="O39" s="761" t="str">
        <f>IF($C39=0,"",SUMIFS(INPUT_DATA!BE:BE,INPUT_DATA!$A:$A,$C39,INPUT_DATA!$C:$C,"S"))</f>
        <v/>
      </c>
      <c r="P39" s="761" t="str">
        <f>IF($C39=0,"",SUMIFS(INPUT_DATA!BF:BF,INPUT_DATA!$A:$A,$C39,INPUT_DATA!$C:$C,"S"))</f>
        <v/>
      </c>
      <c r="Q39" s="767" t="str">
        <f t="shared" si="5"/>
        <v/>
      </c>
      <c r="R39" s="769" t="str">
        <f>IF($C39=0,"",SUMIFS(INPUT_DATA!BH:BH,INPUT_DATA!$A:$A,$C39,INPUT_DATA!$C:$C,"S"))</f>
        <v/>
      </c>
      <c r="S39" s="769" t="str">
        <f>IF($C39=0,"",SUMIFS(INPUT_DATA!BI:BI,INPUT_DATA!$A:$A,$C39,INPUT_DATA!$C:$C,"S"))</f>
        <v/>
      </c>
      <c r="T39" s="767" t="str">
        <f t="shared" si="6"/>
        <v/>
      </c>
      <c r="U39" s="772" t="str">
        <f>IF($C39=0,"",SUMIFS(INPUT_DATA!BL:BL,INPUT_DATA!$A:$A,$C39,INPUT_DATA!$C:$C,"S"))</f>
        <v/>
      </c>
      <c r="V39" s="155" t="str">
        <f t="shared" si="1"/>
        <v/>
      </c>
      <c r="W39" s="149"/>
      <c r="X39" s="749" t="str">
        <f>IF($C39=0,"",SUMIFS(INPUT_DATA!AU:AU,INPUT_DATA!$A:$A,$C39,INPUT_DATA!$C:$C,"D"))</f>
        <v/>
      </c>
      <c r="Y39" s="761" t="str">
        <f>IF($C39=0,"",SUMIFS(INPUT_DATA!AV:AV,INPUT_DATA!$A:$A,$C39,INPUT_DATA!$C:$C,"D"))</f>
        <v/>
      </c>
      <c r="Z39" s="761" t="str">
        <f>IF($C39=0,"",SUMIFS(INPUT_DATA!AW:AW,INPUT_DATA!$A:$A,$C39,INPUT_DATA!$C:$C,"D"))</f>
        <v/>
      </c>
      <c r="AA39" s="762" t="str">
        <f t="shared" si="2"/>
        <v/>
      </c>
      <c r="AB39" s="761" t="str">
        <f>IF($C39=0,"",SUMIFS(INPUT_DATA!AX:AX,INPUT_DATA!$A:$A,$C39,INPUT_DATA!$C:$C,"D"))</f>
        <v/>
      </c>
      <c r="AC39" s="761" t="str">
        <f>IF($C39=0,"",SUMIFS(INPUT_DATA!AY:AY,INPUT_DATA!$A:$A,$C39,INPUT_DATA!$C:$C,"D"))</f>
        <v/>
      </c>
      <c r="AD39" s="761" t="str">
        <f>IF($C39=0,"",SUMIFS(INPUT_DATA!AZ:AZ,INPUT_DATA!$A:$A,$C39,INPUT_DATA!$C:$C,"D"))</f>
        <v/>
      </c>
      <c r="AE39" s="761" t="str">
        <f>IF($C39=0,"",SUMIFS(INPUT_DATA!BA:BA,INPUT_DATA!$A:$A,$C39,INPUT_DATA!$C:$C,"D"))</f>
        <v/>
      </c>
      <c r="AF39" s="761" t="str">
        <f>IF($C39=0,"",SUMIFS(INPUT_DATA!BB:BB,INPUT_DATA!$A:$A,$C39,INPUT_DATA!$C:$C,"D"))</f>
        <v/>
      </c>
      <c r="AG39" s="761" t="str">
        <f>IF($C39=0,"",SUMIFS(INPUT_DATA!BC:BC,INPUT_DATA!$A:$A,$C39,INPUT_DATA!$C:$C,"D"))</f>
        <v/>
      </c>
      <c r="AH39" s="761" t="str">
        <f>IF($C39=0,"",SUMIFS(INPUT_DATA!BD:BD,INPUT_DATA!$A:$A,$C39,INPUT_DATA!$C:$C,"D"))</f>
        <v/>
      </c>
      <c r="AI39" s="761" t="str">
        <f>IF($C39=0,"",SUMIFS(INPUT_DATA!BE:BE,INPUT_DATA!$A:$A,$C39,INPUT_DATA!$C:$C,"D"))</f>
        <v/>
      </c>
      <c r="AJ39" s="314" t="str">
        <f t="shared" si="3"/>
        <v/>
      </c>
      <c r="AK39" s="769" t="str">
        <f>IF($C39=0,"",SUMIFS(INPUT_DATA!BG:BG,INPUT_DATA!$A:$A,$C39,INPUT_DATA!$C:$C,"D"))</f>
        <v/>
      </c>
      <c r="AL39" s="769" t="str">
        <f>IF($C39=0,"",SUMIFS(INPUT_DATA!BH:BH,INPUT_DATA!$A:$A,$C39,INPUT_DATA!$C:$C,"D"))</f>
        <v/>
      </c>
      <c r="AM39" s="769" t="str">
        <f>IF($C39=0,"",SUMIFS(INPUT_DATA!BI:BI,INPUT_DATA!$A:$A,$C39,INPUT_DATA!$C:$C,"D"))</f>
        <v/>
      </c>
      <c r="AN39" s="767" t="str">
        <f t="shared" si="7"/>
        <v/>
      </c>
      <c r="AO39" s="772" t="str">
        <f>IF($C39=0,"",SUMIFS(INPUT_DATA!BK:BK,INPUT_DATA!$A:$A,$C39,INPUT_DATA!$C:$C,"D"))</f>
        <v/>
      </c>
      <c r="AP39" s="354" t="str">
        <f t="shared" si="8"/>
        <v/>
      </c>
      <c r="AQ39" s="149"/>
      <c r="AS39" s="354" t="str">
        <f t="shared" si="9"/>
        <v/>
      </c>
      <c r="AU39" s="378" t="str">
        <f>IF($C39=0,"",'03 - Monthly Asset Follow up'!E43+'03 - Monthly Asset Follow up'!F43-'03 - Monthly Asset Follow up'!U43+'03 - Monthly Asset Follow up'!X43-H39)</f>
        <v/>
      </c>
      <c r="AV39" s="378" t="str">
        <f>IF($C39=0,"",'03 - Monthly Asset Follow up'!BD43+'03 - Monthly Asset Follow up'!BE43-'03 - Monthly Asset Follow up'!BT43+'03 - Monthly Asset Follow up'!BW43-AA39)</f>
        <v/>
      </c>
      <c r="AX39" s="154"/>
    </row>
    <row r="40" spans="2:50" x14ac:dyDescent="0.2">
      <c r="B40" s="753" t="str">
        <f t="shared" si="4"/>
        <v/>
      </c>
      <c r="C40" s="756">
        <f>'03 - Monthly Asset Follow up'!B44</f>
        <v>0</v>
      </c>
      <c r="D40" s="149"/>
      <c r="E40" s="749" t="str">
        <f>IF($C40=0,"",SUMIFS(INPUT_DATA!AU:AU,INPUT_DATA!$A:$A,$C40,INPUT_DATA!$C:$C,"S"))</f>
        <v/>
      </c>
      <c r="F40" s="761" t="str">
        <f>IF($C40=0,"",SUMIFS(INPUT_DATA!AV:AV,INPUT_DATA!$A:$A,$C40,INPUT_DATA!$C:$C,"S"))</f>
        <v/>
      </c>
      <c r="G40" s="761" t="str">
        <f>IF($C40=0,"",SUMIFS(INPUT_DATA!AW:AW,INPUT_DATA!$A:$A,$C40,INPUT_DATA!$C:$C,"S"))</f>
        <v/>
      </c>
      <c r="H40" s="763" t="str">
        <f t="shared" si="0"/>
        <v/>
      </c>
      <c r="I40" s="761" t="str">
        <f>IF($C40=0,"",SUMIFS(INPUT_DATA!AY:AY,INPUT_DATA!$A:$A,$C40,INPUT_DATA!$C:$C,"S"))</f>
        <v/>
      </c>
      <c r="J40" s="761" t="str">
        <f>IF($C40=0,"",SUMIFS(INPUT_DATA!AZ:AZ,INPUT_DATA!$A:$A,$C40,INPUT_DATA!$C:$C,"S"))</f>
        <v/>
      </c>
      <c r="K40" s="761" t="str">
        <f>IF($C40=0,"",SUMIFS(INPUT_DATA!BA:BA,INPUT_DATA!$A:$A,$C40,INPUT_DATA!$C:$C,"S"))</f>
        <v/>
      </c>
      <c r="L40" s="761" t="str">
        <f>IF($C40=0,"",SUMIFS(INPUT_DATA!BB:BB,INPUT_DATA!$A:$A,$C40,INPUT_DATA!$C:$C,"S"))</f>
        <v/>
      </c>
      <c r="M40" s="761" t="str">
        <f>IF($C40=0,"",SUMIFS(INPUT_DATA!BC:BC,INPUT_DATA!$A:$A,$C40,INPUT_DATA!$C:$C,"S"))</f>
        <v/>
      </c>
      <c r="N40" s="761" t="str">
        <f>IF($C40=0,"",SUMIFS(INPUT_DATA!BD:BD,INPUT_DATA!$A:$A,$C40,INPUT_DATA!$C:$C,"S"))</f>
        <v/>
      </c>
      <c r="O40" s="761" t="str">
        <f>IF($C40=0,"",SUMIFS(INPUT_DATA!BE:BE,INPUT_DATA!$A:$A,$C40,INPUT_DATA!$C:$C,"S"))</f>
        <v/>
      </c>
      <c r="P40" s="761" t="str">
        <f>IF($C40=0,"",SUMIFS(INPUT_DATA!BF:BF,INPUT_DATA!$A:$A,$C40,INPUT_DATA!$C:$C,"S"))</f>
        <v/>
      </c>
      <c r="Q40" s="767" t="str">
        <f t="shared" si="5"/>
        <v/>
      </c>
      <c r="R40" s="769" t="str">
        <f>IF($C40=0,"",SUMIFS(INPUT_DATA!BH:BH,INPUT_DATA!$A:$A,$C40,INPUT_DATA!$C:$C,"S"))</f>
        <v/>
      </c>
      <c r="S40" s="769" t="str">
        <f>IF($C40=0,"",SUMIFS(INPUT_DATA!BI:BI,INPUT_DATA!$A:$A,$C40,INPUT_DATA!$C:$C,"S"))</f>
        <v/>
      </c>
      <c r="T40" s="767" t="str">
        <f t="shared" si="6"/>
        <v/>
      </c>
      <c r="U40" s="772" t="str">
        <f>IF($C40=0,"",SUMIFS(INPUT_DATA!BL:BL,INPUT_DATA!$A:$A,$C40,INPUT_DATA!$C:$C,"S"))</f>
        <v/>
      </c>
      <c r="V40" s="155" t="str">
        <f t="shared" si="1"/>
        <v/>
      </c>
      <c r="W40" s="149"/>
      <c r="X40" s="749" t="str">
        <f>IF($C40=0,"",SUMIFS(INPUT_DATA!AU:AU,INPUT_DATA!$A:$A,$C40,INPUT_DATA!$C:$C,"D"))</f>
        <v/>
      </c>
      <c r="Y40" s="761" t="str">
        <f>IF($C40=0,"",SUMIFS(INPUT_DATA!AV:AV,INPUT_DATA!$A:$A,$C40,INPUT_DATA!$C:$C,"D"))</f>
        <v/>
      </c>
      <c r="Z40" s="761" t="str">
        <f>IF($C40=0,"",SUMIFS(INPUT_DATA!AW:AW,INPUT_DATA!$A:$A,$C40,INPUT_DATA!$C:$C,"D"))</f>
        <v/>
      </c>
      <c r="AA40" s="762" t="str">
        <f t="shared" si="2"/>
        <v/>
      </c>
      <c r="AB40" s="761" t="str">
        <f>IF($C40=0,"",SUMIFS(INPUT_DATA!AX:AX,INPUT_DATA!$A:$A,$C40,INPUT_DATA!$C:$C,"D"))</f>
        <v/>
      </c>
      <c r="AC40" s="761" t="str">
        <f>IF($C40=0,"",SUMIFS(INPUT_DATA!AY:AY,INPUT_DATA!$A:$A,$C40,INPUT_DATA!$C:$C,"D"))</f>
        <v/>
      </c>
      <c r="AD40" s="761" t="str">
        <f>IF($C40=0,"",SUMIFS(INPUT_DATA!AZ:AZ,INPUT_DATA!$A:$A,$C40,INPUT_DATA!$C:$C,"D"))</f>
        <v/>
      </c>
      <c r="AE40" s="761" t="str">
        <f>IF($C40=0,"",SUMIFS(INPUT_DATA!BA:BA,INPUT_DATA!$A:$A,$C40,INPUT_DATA!$C:$C,"D"))</f>
        <v/>
      </c>
      <c r="AF40" s="761" t="str">
        <f>IF($C40=0,"",SUMIFS(INPUT_DATA!BB:BB,INPUT_DATA!$A:$A,$C40,INPUT_DATA!$C:$C,"D"))</f>
        <v/>
      </c>
      <c r="AG40" s="761" t="str">
        <f>IF($C40=0,"",SUMIFS(INPUT_DATA!BC:BC,INPUT_DATA!$A:$A,$C40,INPUT_DATA!$C:$C,"D"))</f>
        <v/>
      </c>
      <c r="AH40" s="761" t="str">
        <f>IF($C40=0,"",SUMIFS(INPUT_DATA!BD:BD,INPUT_DATA!$A:$A,$C40,INPUT_DATA!$C:$C,"D"))</f>
        <v/>
      </c>
      <c r="AI40" s="761" t="str">
        <f>IF($C40=0,"",SUMIFS(INPUT_DATA!BE:BE,INPUT_DATA!$A:$A,$C40,INPUT_DATA!$C:$C,"D"))</f>
        <v/>
      </c>
      <c r="AJ40" s="314" t="str">
        <f t="shared" si="3"/>
        <v/>
      </c>
      <c r="AK40" s="769" t="str">
        <f>IF($C40=0,"",SUMIFS(INPUT_DATA!BG:BG,INPUT_DATA!$A:$A,$C40,INPUT_DATA!$C:$C,"D"))</f>
        <v/>
      </c>
      <c r="AL40" s="769" t="str">
        <f>IF($C40=0,"",SUMIFS(INPUT_DATA!BH:BH,INPUT_DATA!$A:$A,$C40,INPUT_DATA!$C:$C,"D"))</f>
        <v/>
      </c>
      <c r="AM40" s="769" t="str">
        <f>IF($C40=0,"",SUMIFS(INPUT_DATA!BI:BI,INPUT_DATA!$A:$A,$C40,INPUT_DATA!$C:$C,"D"))</f>
        <v/>
      </c>
      <c r="AN40" s="767" t="str">
        <f t="shared" si="7"/>
        <v/>
      </c>
      <c r="AO40" s="772" t="str">
        <f>IF($C40=0,"",SUMIFS(INPUT_DATA!BK:BK,INPUT_DATA!$A:$A,$C40,INPUT_DATA!$C:$C,"D"))</f>
        <v/>
      </c>
      <c r="AP40" s="354" t="str">
        <f t="shared" si="8"/>
        <v/>
      </c>
      <c r="AQ40" s="149"/>
      <c r="AS40" s="354" t="str">
        <f t="shared" si="9"/>
        <v/>
      </c>
      <c r="AU40" s="378" t="str">
        <f>IF($C40=0,"",'03 - Monthly Asset Follow up'!E44+'03 - Monthly Asset Follow up'!F44-'03 - Monthly Asset Follow up'!U44+'03 - Monthly Asset Follow up'!X44-H40)</f>
        <v/>
      </c>
      <c r="AV40" s="378" t="str">
        <f>IF($C40=0,"",'03 - Monthly Asset Follow up'!BD44+'03 - Monthly Asset Follow up'!BE44-'03 - Monthly Asset Follow up'!BT44+'03 - Monthly Asset Follow up'!BW44-AA40)</f>
        <v/>
      </c>
      <c r="AX40" s="154"/>
    </row>
    <row r="41" spans="2:50" x14ac:dyDescent="0.2">
      <c r="B41" s="753" t="str">
        <f t="shared" si="4"/>
        <v/>
      </c>
      <c r="C41" s="756">
        <f>'03 - Monthly Asset Follow up'!B45</f>
        <v>0</v>
      </c>
      <c r="D41" s="149"/>
      <c r="E41" s="749" t="str">
        <f>IF($C41=0,"",SUMIFS(INPUT_DATA!AU:AU,INPUT_DATA!$A:$A,$C41,INPUT_DATA!$C:$C,"S"))</f>
        <v/>
      </c>
      <c r="F41" s="761" t="str">
        <f>IF($C41=0,"",SUMIFS(INPUT_DATA!AV:AV,INPUT_DATA!$A:$A,$C41,INPUT_DATA!$C:$C,"S"))</f>
        <v/>
      </c>
      <c r="G41" s="761" t="str">
        <f>IF($C41=0,"",SUMIFS(INPUT_DATA!AW:AW,INPUT_DATA!$A:$A,$C41,INPUT_DATA!$C:$C,"S"))</f>
        <v/>
      </c>
      <c r="H41" s="763" t="str">
        <f t="shared" si="0"/>
        <v/>
      </c>
      <c r="I41" s="761" t="str">
        <f>IF($C41=0,"",SUMIFS(INPUT_DATA!AY:AY,INPUT_DATA!$A:$A,$C41,INPUT_DATA!$C:$C,"S"))</f>
        <v/>
      </c>
      <c r="J41" s="761" t="str">
        <f>IF($C41=0,"",SUMIFS(INPUT_DATA!AZ:AZ,INPUT_DATA!$A:$A,$C41,INPUT_DATA!$C:$C,"S"))</f>
        <v/>
      </c>
      <c r="K41" s="761" t="str">
        <f>IF($C41=0,"",SUMIFS(INPUT_DATA!BA:BA,INPUT_DATA!$A:$A,$C41,INPUT_DATA!$C:$C,"S"))</f>
        <v/>
      </c>
      <c r="L41" s="761" t="str">
        <f>IF($C41=0,"",SUMIFS(INPUT_DATA!BB:BB,INPUT_DATA!$A:$A,$C41,INPUT_DATA!$C:$C,"S"))</f>
        <v/>
      </c>
      <c r="M41" s="761" t="str">
        <f>IF($C41=0,"",SUMIFS(INPUT_DATA!BC:BC,INPUT_DATA!$A:$A,$C41,INPUT_DATA!$C:$C,"S"))</f>
        <v/>
      </c>
      <c r="N41" s="761" t="str">
        <f>IF($C41=0,"",SUMIFS(INPUT_DATA!BD:BD,INPUT_DATA!$A:$A,$C41,INPUT_DATA!$C:$C,"S"))</f>
        <v/>
      </c>
      <c r="O41" s="761" t="str">
        <f>IF($C41=0,"",SUMIFS(INPUT_DATA!BE:BE,INPUT_DATA!$A:$A,$C41,INPUT_DATA!$C:$C,"S"))</f>
        <v/>
      </c>
      <c r="P41" s="761" t="str">
        <f>IF($C41=0,"",SUMIFS(INPUT_DATA!BF:BF,INPUT_DATA!$A:$A,$C41,INPUT_DATA!$C:$C,"S"))</f>
        <v/>
      </c>
      <c r="Q41" s="767" t="str">
        <f t="shared" si="5"/>
        <v/>
      </c>
      <c r="R41" s="769" t="str">
        <f>IF($C41=0,"",SUMIFS(INPUT_DATA!BH:BH,INPUT_DATA!$A:$A,$C41,INPUT_DATA!$C:$C,"S"))</f>
        <v/>
      </c>
      <c r="S41" s="769" t="str">
        <f>IF($C41=0,"",SUMIFS(INPUT_DATA!BI:BI,INPUT_DATA!$A:$A,$C41,INPUT_DATA!$C:$C,"S"))</f>
        <v/>
      </c>
      <c r="T41" s="767" t="str">
        <f t="shared" si="6"/>
        <v/>
      </c>
      <c r="U41" s="772" t="str">
        <f>IF($C41=0,"",SUMIFS(INPUT_DATA!BL:BL,INPUT_DATA!$A:$A,$C41,INPUT_DATA!$C:$C,"S"))</f>
        <v/>
      </c>
      <c r="V41" s="155" t="str">
        <f t="shared" si="1"/>
        <v/>
      </c>
      <c r="W41" s="149"/>
      <c r="X41" s="749" t="str">
        <f>IF($C41=0,"",SUMIFS(INPUT_DATA!AU:AU,INPUT_DATA!$A:$A,$C41,INPUT_DATA!$C:$C,"D"))</f>
        <v/>
      </c>
      <c r="Y41" s="761" t="str">
        <f>IF($C41=0,"",SUMIFS(INPUT_DATA!AV:AV,INPUT_DATA!$A:$A,$C41,INPUT_DATA!$C:$C,"D"))</f>
        <v/>
      </c>
      <c r="Z41" s="761" t="str">
        <f>IF($C41=0,"",SUMIFS(INPUT_DATA!AW:AW,INPUT_DATA!$A:$A,$C41,INPUT_DATA!$C:$C,"D"))</f>
        <v/>
      </c>
      <c r="AA41" s="762" t="str">
        <f t="shared" si="2"/>
        <v/>
      </c>
      <c r="AB41" s="761" t="str">
        <f>IF($C41=0,"",SUMIFS(INPUT_DATA!AX:AX,INPUT_DATA!$A:$A,$C41,INPUT_DATA!$C:$C,"D"))</f>
        <v/>
      </c>
      <c r="AC41" s="761" t="str">
        <f>IF($C41=0,"",SUMIFS(INPUT_DATA!AY:AY,INPUT_DATA!$A:$A,$C41,INPUT_DATA!$C:$C,"D"))</f>
        <v/>
      </c>
      <c r="AD41" s="761" t="str">
        <f>IF($C41=0,"",SUMIFS(INPUT_DATA!AZ:AZ,INPUT_DATA!$A:$A,$C41,INPUT_DATA!$C:$C,"D"))</f>
        <v/>
      </c>
      <c r="AE41" s="761" t="str">
        <f>IF($C41=0,"",SUMIFS(INPUT_DATA!BA:BA,INPUT_DATA!$A:$A,$C41,INPUT_DATA!$C:$C,"D"))</f>
        <v/>
      </c>
      <c r="AF41" s="761" t="str">
        <f>IF($C41=0,"",SUMIFS(INPUT_DATA!BB:BB,INPUT_DATA!$A:$A,$C41,INPUT_DATA!$C:$C,"D"))</f>
        <v/>
      </c>
      <c r="AG41" s="761" t="str">
        <f>IF($C41=0,"",SUMIFS(INPUT_DATA!BC:BC,INPUT_DATA!$A:$A,$C41,INPUT_DATA!$C:$C,"D"))</f>
        <v/>
      </c>
      <c r="AH41" s="761" t="str">
        <f>IF($C41=0,"",SUMIFS(INPUT_DATA!BD:BD,INPUT_DATA!$A:$A,$C41,INPUT_DATA!$C:$C,"D"))</f>
        <v/>
      </c>
      <c r="AI41" s="761" t="str">
        <f>IF($C41=0,"",SUMIFS(INPUT_DATA!BE:BE,INPUT_DATA!$A:$A,$C41,INPUT_DATA!$C:$C,"D"))</f>
        <v/>
      </c>
      <c r="AJ41" s="314" t="str">
        <f t="shared" si="3"/>
        <v/>
      </c>
      <c r="AK41" s="769" t="str">
        <f>IF($C41=0,"",SUMIFS(INPUT_DATA!BG:BG,INPUT_DATA!$A:$A,$C41,INPUT_DATA!$C:$C,"D"))</f>
        <v/>
      </c>
      <c r="AL41" s="769" t="str">
        <f>IF($C41=0,"",SUMIFS(INPUT_DATA!BH:BH,INPUT_DATA!$A:$A,$C41,INPUT_DATA!$C:$C,"D"))</f>
        <v/>
      </c>
      <c r="AM41" s="769" t="str">
        <f>IF($C41=0,"",SUMIFS(INPUT_DATA!BI:BI,INPUT_DATA!$A:$A,$C41,INPUT_DATA!$C:$C,"D"))</f>
        <v/>
      </c>
      <c r="AN41" s="767" t="str">
        <f t="shared" si="7"/>
        <v/>
      </c>
      <c r="AO41" s="772" t="str">
        <f>IF($C41=0,"",SUMIFS(INPUT_DATA!BK:BK,INPUT_DATA!$A:$A,$C41,INPUT_DATA!$C:$C,"D"))</f>
        <v/>
      </c>
      <c r="AP41" s="354" t="str">
        <f t="shared" si="8"/>
        <v/>
      </c>
      <c r="AQ41" s="149"/>
      <c r="AS41" s="354" t="str">
        <f t="shared" si="9"/>
        <v/>
      </c>
      <c r="AU41" s="378" t="str">
        <f>IF($C41=0,"",'03 - Monthly Asset Follow up'!E45+'03 - Monthly Asset Follow up'!F45-'03 - Monthly Asset Follow up'!U45+'03 - Monthly Asset Follow up'!X45-H41)</f>
        <v/>
      </c>
      <c r="AV41" s="378" t="str">
        <f>IF($C41=0,"",'03 - Monthly Asset Follow up'!BD45+'03 - Monthly Asset Follow up'!BE45-'03 - Monthly Asset Follow up'!BT45+'03 - Monthly Asset Follow up'!BW45-AA41)</f>
        <v/>
      </c>
      <c r="AX41" s="154"/>
    </row>
    <row r="42" spans="2:50" x14ac:dyDescent="0.2">
      <c r="B42" s="753" t="str">
        <f t="shared" si="4"/>
        <v/>
      </c>
      <c r="C42" s="756">
        <f>'03 - Monthly Asset Follow up'!B46</f>
        <v>0</v>
      </c>
      <c r="D42" s="149"/>
      <c r="E42" s="749" t="str">
        <f>IF($C42=0,"",SUMIFS(INPUT_DATA!AU:AU,INPUT_DATA!$A:$A,$C42,INPUT_DATA!$C:$C,"S"))</f>
        <v/>
      </c>
      <c r="F42" s="761" t="str">
        <f>IF($C42=0,"",SUMIFS(INPUT_DATA!AV:AV,INPUT_DATA!$A:$A,$C42,INPUT_DATA!$C:$C,"S"))</f>
        <v/>
      </c>
      <c r="G42" s="761" t="str">
        <f>IF($C42=0,"",SUMIFS(INPUT_DATA!AW:AW,INPUT_DATA!$A:$A,$C42,INPUT_DATA!$C:$C,"S"))</f>
        <v/>
      </c>
      <c r="H42" s="763" t="str">
        <f t="shared" si="0"/>
        <v/>
      </c>
      <c r="I42" s="761" t="str">
        <f>IF($C42=0,"",SUMIFS(INPUT_DATA!AY:AY,INPUT_DATA!$A:$A,$C42,INPUT_DATA!$C:$C,"S"))</f>
        <v/>
      </c>
      <c r="J42" s="761" t="str">
        <f>IF($C42=0,"",SUMIFS(INPUT_DATA!AZ:AZ,INPUT_DATA!$A:$A,$C42,INPUT_DATA!$C:$C,"S"))</f>
        <v/>
      </c>
      <c r="K42" s="761" t="str">
        <f>IF($C42=0,"",SUMIFS(INPUT_DATA!BA:BA,INPUT_DATA!$A:$A,$C42,INPUT_DATA!$C:$C,"S"))</f>
        <v/>
      </c>
      <c r="L42" s="761" t="str">
        <f>IF($C42=0,"",SUMIFS(INPUT_DATA!BB:BB,INPUT_DATA!$A:$A,$C42,INPUT_DATA!$C:$C,"S"))</f>
        <v/>
      </c>
      <c r="M42" s="761" t="str">
        <f>IF($C42=0,"",SUMIFS(INPUT_DATA!BC:BC,INPUT_DATA!$A:$A,$C42,INPUT_DATA!$C:$C,"S"))</f>
        <v/>
      </c>
      <c r="N42" s="761" t="str">
        <f>IF($C42=0,"",SUMIFS(INPUT_DATA!BD:BD,INPUT_DATA!$A:$A,$C42,INPUT_DATA!$C:$C,"S"))</f>
        <v/>
      </c>
      <c r="O42" s="761" t="str">
        <f>IF($C42=0,"",SUMIFS(INPUT_DATA!BE:BE,INPUT_DATA!$A:$A,$C42,INPUT_DATA!$C:$C,"S"))</f>
        <v/>
      </c>
      <c r="P42" s="761" t="str">
        <f>IF($C42=0,"",SUMIFS(INPUT_DATA!BF:BF,INPUT_DATA!$A:$A,$C42,INPUT_DATA!$C:$C,"S"))</f>
        <v/>
      </c>
      <c r="Q42" s="767" t="str">
        <f t="shared" si="5"/>
        <v/>
      </c>
      <c r="R42" s="769" t="str">
        <f>IF($C42=0,"",SUMIFS(INPUT_DATA!BH:BH,INPUT_DATA!$A:$A,$C42,INPUT_DATA!$C:$C,"S"))</f>
        <v/>
      </c>
      <c r="S42" s="769" t="str">
        <f>IF($C42=0,"",SUMIFS(INPUT_DATA!BI:BI,INPUT_DATA!$A:$A,$C42,INPUT_DATA!$C:$C,"S"))</f>
        <v/>
      </c>
      <c r="T42" s="767" t="str">
        <f t="shared" si="6"/>
        <v/>
      </c>
      <c r="U42" s="772" t="str">
        <f>IF($C42=0,"",SUMIFS(INPUT_DATA!BL:BL,INPUT_DATA!$A:$A,$C42,INPUT_DATA!$C:$C,"S"))</f>
        <v/>
      </c>
      <c r="V42" s="155" t="str">
        <f t="shared" si="1"/>
        <v/>
      </c>
      <c r="W42" s="149"/>
      <c r="X42" s="749" t="str">
        <f>IF($C42=0,"",SUMIFS(INPUT_DATA!AU:AU,INPUT_DATA!$A:$A,$C42,INPUT_DATA!$C:$C,"D"))</f>
        <v/>
      </c>
      <c r="Y42" s="761" t="str">
        <f>IF($C42=0,"",SUMIFS(INPUT_DATA!AV:AV,INPUT_DATA!$A:$A,$C42,INPUT_DATA!$C:$C,"D"))</f>
        <v/>
      </c>
      <c r="Z42" s="761" t="str">
        <f>IF($C42=0,"",SUMIFS(INPUT_DATA!AW:AW,INPUT_DATA!$A:$A,$C42,INPUT_DATA!$C:$C,"D"))</f>
        <v/>
      </c>
      <c r="AA42" s="762" t="str">
        <f t="shared" si="2"/>
        <v/>
      </c>
      <c r="AB42" s="761" t="str">
        <f>IF($C42=0,"",SUMIFS(INPUT_DATA!AX:AX,INPUT_DATA!$A:$A,$C42,INPUT_DATA!$C:$C,"D"))</f>
        <v/>
      </c>
      <c r="AC42" s="761" t="str">
        <f>IF($C42=0,"",SUMIFS(INPUT_DATA!AY:AY,INPUT_DATA!$A:$A,$C42,INPUT_DATA!$C:$C,"D"))</f>
        <v/>
      </c>
      <c r="AD42" s="761" t="str">
        <f>IF($C42=0,"",SUMIFS(INPUT_DATA!AZ:AZ,INPUT_DATA!$A:$A,$C42,INPUT_DATA!$C:$C,"D"))</f>
        <v/>
      </c>
      <c r="AE42" s="761" t="str">
        <f>IF($C42=0,"",SUMIFS(INPUT_DATA!BA:BA,INPUT_DATA!$A:$A,$C42,INPUT_DATA!$C:$C,"D"))</f>
        <v/>
      </c>
      <c r="AF42" s="761" t="str">
        <f>IF($C42=0,"",SUMIFS(INPUT_DATA!BB:BB,INPUT_DATA!$A:$A,$C42,INPUT_DATA!$C:$C,"D"))</f>
        <v/>
      </c>
      <c r="AG42" s="761" t="str">
        <f>IF($C42=0,"",SUMIFS(INPUT_DATA!BC:BC,INPUT_DATA!$A:$A,$C42,INPUT_DATA!$C:$C,"D"))</f>
        <v/>
      </c>
      <c r="AH42" s="761" t="str">
        <f>IF($C42=0,"",SUMIFS(INPUT_DATA!BD:BD,INPUT_DATA!$A:$A,$C42,INPUT_DATA!$C:$C,"D"))</f>
        <v/>
      </c>
      <c r="AI42" s="761" t="str">
        <f>IF($C42=0,"",SUMIFS(INPUT_DATA!BE:BE,INPUT_DATA!$A:$A,$C42,INPUT_DATA!$C:$C,"D"))</f>
        <v/>
      </c>
      <c r="AJ42" s="314" t="str">
        <f t="shared" si="3"/>
        <v/>
      </c>
      <c r="AK42" s="769" t="str">
        <f>IF($C42=0,"",SUMIFS(INPUT_DATA!BG:BG,INPUT_DATA!$A:$A,$C42,INPUT_DATA!$C:$C,"D"))</f>
        <v/>
      </c>
      <c r="AL42" s="769" t="str">
        <f>IF($C42=0,"",SUMIFS(INPUT_DATA!BH:BH,INPUT_DATA!$A:$A,$C42,INPUT_DATA!$C:$C,"D"))</f>
        <v/>
      </c>
      <c r="AM42" s="769" t="str">
        <f>IF($C42=0,"",SUMIFS(INPUT_DATA!BI:BI,INPUT_DATA!$A:$A,$C42,INPUT_DATA!$C:$C,"D"))</f>
        <v/>
      </c>
      <c r="AN42" s="767" t="str">
        <f t="shared" si="7"/>
        <v/>
      </c>
      <c r="AO42" s="772" t="str">
        <f>IF($C42=0,"",SUMIFS(INPUT_DATA!BK:BK,INPUT_DATA!$A:$A,$C42,INPUT_DATA!$C:$C,"D"))</f>
        <v/>
      </c>
      <c r="AP42" s="354" t="str">
        <f t="shared" si="8"/>
        <v/>
      </c>
      <c r="AQ42" s="149"/>
      <c r="AS42" s="354" t="str">
        <f t="shared" si="9"/>
        <v/>
      </c>
      <c r="AU42" s="378" t="str">
        <f>IF($C42=0,"",'03 - Monthly Asset Follow up'!E46+'03 - Monthly Asset Follow up'!F46-'03 - Monthly Asset Follow up'!U46+'03 - Monthly Asset Follow up'!X46-H42)</f>
        <v/>
      </c>
      <c r="AV42" s="378" t="str">
        <f>IF($C42=0,"",'03 - Monthly Asset Follow up'!BD46+'03 - Monthly Asset Follow up'!BE46-'03 - Monthly Asset Follow up'!BT46+'03 - Monthly Asset Follow up'!BW46-AA42)</f>
        <v/>
      </c>
      <c r="AX42" s="154"/>
    </row>
    <row r="43" spans="2:50" x14ac:dyDescent="0.2">
      <c r="B43" s="753" t="str">
        <f t="shared" si="4"/>
        <v/>
      </c>
      <c r="C43" s="756">
        <f>'03 - Monthly Asset Follow up'!B47</f>
        <v>0</v>
      </c>
      <c r="D43" s="149"/>
      <c r="E43" s="749" t="str">
        <f>IF($C43=0,"",SUMIFS(INPUT_DATA!AU:AU,INPUT_DATA!$A:$A,$C43,INPUT_DATA!$C:$C,"S"))</f>
        <v/>
      </c>
      <c r="F43" s="761" t="str">
        <f>IF($C43=0,"",SUMIFS(INPUT_DATA!AV:AV,INPUT_DATA!$A:$A,$C43,INPUT_DATA!$C:$C,"S"))</f>
        <v/>
      </c>
      <c r="G43" s="761" t="str">
        <f>IF($C43=0,"",SUMIFS(INPUT_DATA!AW:AW,INPUT_DATA!$A:$A,$C43,INPUT_DATA!$C:$C,"S"))</f>
        <v/>
      </c>
      <c r="H43" s="763" t="str">
        <f t="shared" si="0"/>
        <v/>
      </c>
      <c r="I43" s="761" t="str">
        <f>IF($C43=0,"",SUMIFS(INPUT_DATA!AY:AY,INPUT_DATA!$A:$A,$C43,INPUT_DATA!$C:$C,"S"))</f>
        <v/>
      </c>
      <c r="J43" s="761" t="str">
        <f>IF($C43=0,"",SUMIFS(INPUT_DATA!AZ:AZ,INPUT_DATA!$A:$A,$C43,INPUT_DATA!$C:$C,"S"))</f>
        <v/>
      </c>
      <c r="K43" s="761" t="str">
        <f>IF($C43=0,"",SUMIFS(INPUT_DATA!BA:BA,INPUT_DATA!$A:$A,$C43,INPUT_DATA!$C:$C,"S"))</f>
        <v/>
      </c>
      <c r="L43" s="761" t="str">
        <f>IF($C43=0,"",SUMIFS(INPUT_DATA!BB:BB,INPUT_DATA!$A:$A,$C43,INPUT_DATA!$C:$C,"S"))</f>
        <v/>
      </c>
      <c r="M43" s="761" t="str">
        <f>IF($C43=0,"",SUMIFS(INPUT_DATA!BC:BC,INPUT_DATA!$A:$A,$C43,INPUT_DATA!$C:$C,"S"))</f>
        <v/>
      </c>
      <c r="N43" s="761" t="str">
        <f>IF($C43=0,"",SUMIFS(INPUT_DATA!BD:BD,INPUT_DATA!$A:$A,$C43,INPUT_DATA!$C:$C,"S"))</f>
        <v/>
      </c>
      <c r="O43" s="761" t="str">
        <f>IF($C43=0,"",SUMIFS(INPUT_DATA!BE:BE,INPUT_DATA!$A:$A,$C43,INPUT_DATA!$C:$C,"S"))</f>
        <v/>
      </c>
      <c r="P43" s="761" t="str">
        <f>IF($C43=0,"",SUMIFS(INPUT_DATA!BF:BF,INPUT_DATA!$A:$A,$C43,INPUT_DATA!$C:$C,"S"))</f>
        <v/>
      </c>
      <c r="Q43" s="767" t="str">
        <f t="shared" si="5"/>
        <v/>
      </c>
      <c r="R43" s="769" t="str">
        <f>IF($C43=0,"",SUMIFS(INPUT_DATA!BH:BH,INPUT_DATA!$A:$A,$C43,INPUT_DATA!$C:$C,"S"))</f>
        <v/>
      </c>
      <c r="S43" s="769" t="str">
        <f>IF($C43=0,"",SUMIFS(INPUT_DATA!BI:BI,INPUT_DATA!$A:$A,$C43,INPUT_DATA!$C:$C,"S"))</f>
        <v/>
      </c>
      <c r="T43" s="767" t="str">
        <f t="shared" si="6"/>
        <v/>
      </c>
      <c r="U43" s="772" t="str">
        <f>IF($C43=0,"",SUMIFS(INPUT_DATA!BL:BL,INPUT_DATA!$A:$A,$C43,INPUT_DATA!$C:$C,"S"))</f>
        <v/>
      </c>
      <c r="V43" s="155" t="str">
        <f t="shared" si="1"/>
        <v/>
      </c>
      <c r="W43" s="149"/>
      <c r="X43" s="749" t="str">
        <f>IF($C43=0,"",SUMIFS(INPUT_DATA!AU:AU,INPUT_DATA!$A:$A,$C43,INPUT_DATA!$C:$C,"D"))</f>
        <v/>
      </c>
      <c r="Y43" s="761" t="str">
        <f>IF($C43=0,"",SUMIFS(INPUT_DATA!AV:AV,INPUT_DATA!$A:$A,$C43,INPUT_DATA!$C:$C,"D"))</f>
        <v/>
      </c>
      <c r="Z43" s="761" t="str">
        <f>IF($C43=0,"",SUMIFS(INPUT_DATA!AW:AW,INPUT_DATA!$A:$A,$C43,INPUT_DATA!$C:$C,"D"))</f>
        <v/>
      </c>
      <c r="AA43" s="762" t="str">
        <f t="shared" si="2"/>
        <v/>
      </c>
      <c r="AB43" s="761" t="str">
        <f>IF($C43=0,"",SUMIFS(INPUT_DATA!AX:AX,INPUT_DATA!$A:$A,$C43,INPUT_DATA!$C:$C,"D"))</f>
        <v/>
      </c>
      <c r="AC43" s="761" t="str">
        <f>IF($C43=0,"",SUMIFS(INPUT_DATA!AY:AY,INPUT_DATA!$A:$A,$C43,INPUT_DATA!$C:$C,"D"))</f>
        <v/>
      </c>
      <c r="AD43" s="761" t="str">
        <f>IF($C43=0,"",SUMIFS(INPUT_DATA!AZ:AZ,INPUT_DATA!$A:$A,$C43,INPUT_DATA!$C:$C,"D"))</f>
        <v/>
      </c>
      <c r="AE43" s="761" t="str">
        <f>IF($C43=0,"",SUMIFS(INPUT_DATA!BA:BA,INPUT_DATA!$A:$A,$C43,INPUT_DATA!$C:$C,"D"))</f>
        <v/>
      </c>
      <c r="AF43" s="761" t="str">
        <f>IF($C43=0,"",SUMIFS(INPUT_DATA!BB:BB,INPUT_DATA!$A:$A,$C43,INPUT_DATA!$C:$C,"D"))</f>
        <v/>
      </c>
      <c r="AG43" s="761" t="str">
        <f>IF($C43=0,"",SUMIFS(INPUT_DATA!BC:BC,INPUT_DATA!$A:$A,$C43,INPUT_DATA!$C:$C,"D"))</f>
        <v/>
      </c>
      <c r="AH43" s="761" t="str">
        <f>IF($C43=0,"",SUMIFS(INPUT_DATA!BD:BD,INPUT_DATA!$A:$A,$C43,INPUT_DATA!$C:$C,"D"))</f>
        <v/>
      </c>
      <c r="AI43" s="761" t="str">
        <f>IF($C43=0,"",SUMIFS(INPUT_DATA!BE:BE,INPUT_DATA!$A:$A,$C43,INPUT_DATA!$C:$C,"D"))</f>
        <v/>
      </c>
      <c r="AJ43" s="314" t="str">
        <f t="shared" si="3"/>
        <v/>
      </c>
      <c r="AK43" s="769" t="str">
        <f>IF($C43=0,"",SUMIFS(INPUT_DATA!BG:BG,INPUT_DATA!$A:$A,$C43,INPUT_DATA!$C:$C,"D"))</f>
        <v/>
      </c>
      <c r="AL43" s="769" t="str">
        <f>IF($C43=0,"",SUMIFS(INPUT_DATA!BH:BH,INPUT_DATA!$A:$A,$C43,INPUT_DATA!$C:$C,"D"))</f>
        <v/>
      </c>
      <c r="AM43" s="769" t="str">
        <f>IF($C43=0,"",SUMIFS(INPUT_DATA!BI:BI,INPUT_DATA!$A:$A,$C43,INPUT_DATA!$C:$C,"D"))</f>
        <v/>
      </c>
      <c r="AN43" s="767" t="str">
        <f t="shared" si="7"/>
        <v/>
      </c>
      <c r="AO43" s="772" t="str">
        <f>IF($C43=0,"",SUMIFS(INPUT_DATA!BK:BK,INPUT_DATA!$A:$A,$C43,INPUT_DATA!$C:$C,"D"))</f>
        <v/>
      </c>
      <c r="AP43" s="354" t="str">
        <f t="shared" si="8"/>
        <v/>
      </c>
      <c r="AQ43" s="149"/>
      <c r="AS43" s="354" t="str">
        <f t="shared" si="9"/>
        <v/>
      </c>
      <c r="AU43" s="378" t="str">
        <f>IF($C43=0,"",'03 - Monthly Asset Follow up'!E47+'03 - Monthly Asset Follow up'!F47-'03 - Monthly Asset Follow up'!U47+'03 - Monthly Asset Follow up'!X47-H43)</f>
        <v/>
      </c>
      <c r="AV43" s="378" t="str">
        <f>IF($C43=0,"",'03 - Monthly Asset Follow up'!BD47+'03 - Monthly Asset Follow up'!BE47-'03 - Monthly Asset Follow up'!BT47+'03 - Monthly Asset Follow up'!BW47-AA43)</f>
        <v/>
      </c>
      <c r="AX43" s="154"/>
    </row>
    <row r="44" spans="2:50" x14ac:dyDescent="0.2">
      <c r="B44" s="753" t="str">
        <f t="shared" si="4"/>
        <v/>
      </c>
      <c r="C44" s="756">
        <f>'03 - Monthly Asset Follow up'!B48</f>
        <v>0</v>
      </c>
      <c r="D44" s="149"/>
      <c r="E44" s="749" t="str">
        <f>IF($C44=0,"",SUMIFS(INPUT_DATA!AU:AU,INPUT_DATA!$A:$A,$C44,INPUT_DATA!$C:$C,"S"))</f>
        <v/>
      </c>
      <c r="F44" s="761" t="str">
        <f>IF($C44=0,"",SUMIFS(INPUT_DATA!AV:AV,INPUT_DATA!$A:$A,$C44,INPUT_DATA!$C:$C,"S"))</f>
        <v/>
      </c>
      <c r="G44" s="761" t="str">
        <f>IF($C44=0,"",SUMIFS(INPUT_DATA!AW:AW,INPUT_DATA!$A:$A,$C44,INPUT_DATA!$C:$C,"S"))</f>
        <v/>
      </c>
      <c r="H44" s="763" t="str">
        <f t="shared" si="0"/>
        <v/>
      </c>
      <c r="I44" s="761" t="str">
        <f>IF($C44=0,"",SUMIFS(INPUT_DATA!AY:AY,INPUT_DATA!$A:$A,$C44,INPUT_DATA!$C:$C,"S"))</f>
        <v/>
      </c>
      <c r="J44" s="761" t="str">
        <f>IF($C44=0,"",SUMIFS(INPUT_DATA!AZ:AZ,INPUT_DATA!$A:$A,$C44,INPUT_DATA!$C:$C,"S"))</f>
        <v/>
      </c>
      <c r="K44" s="761" t="str">
        <f>IF($C44=0,"",SUMIFS(INPUT_DATA!BA:BA,INPUT_DATA!$A:$A,$C44,INPUT_DATA!$C:$C,"S"))</f>
        <v/>
      </c>
      <c r="L44" s="761" t="str">
        <f>IF($C44=0,"",SUMIFS(INPUT_DATA!BB:BB,INPUT_DATA!$A:$A,$C44,INPUT_DATA!$C:$C,"S"))</f>
        <v/>
      </c>
      <c r="M44" s="761" t="str">
        <f>IF($C44=0,"",SUMIFS(INPUT_DATA!BC:BC,INPUT_DATA!$A:$A,$C44,INPUT_DATA!$C:$C,"S"))</f>
        <v/>
      </c>
      <c r="N44" s="761" t="str">
        <f>IF($C44=0,"",SUMIFS(INPUT_DATA!BD:BD,INPUT_DATA!$A:$A,$C44,INPUT_DATA!$C:$C,"S"))</f>
        <v/>
      </c>
      <c r="O44" s="761" t="str">
        <f>IF($C44=0,"",SUMIFS(INPUT_DATA!BE:BE,INPUT_DATA!$A:$A,$C44,INPUT_DATA!$C:$C,"S"))</f>
        <v/>
      </c>
      <c r="P44" s="761" t="str">
        <f>IF($C44=0,"",SUMIFS(INPUT_DATA!BF:BF,INPUT_DATA!$A:$A,$C44,INPUT_DATA!$C:$C,"S"))</f>
        <v/>
      </c>
      <c r="Q44" s="767" t="str">
        <f t="shared" si="5"/>
        <v/>
      </c>
      <c r="R44" s="769" t="str">
        <f>IF($C44=0,"",SUMIFS(INPUT_DATA!BH:BH,INPUT_DATA!$A:$A,$C44,INPUT_DATA!$C:$C,"S"))</f>
        <v/>
      </c>
      <c r="S44" s="769" t="str">
        <f>IF($C44=0,"",SUMIFS(INPUT_DATA!BI:BI,INPUT_DATA!$A:$A,$C44,INPUT_DATA!$C:$C,"S"))</f>
        <v/>
      </c>
      <c r="T44" s="767" t="str">
        <f t="shared" si="6"/>
        <v/>
      </c>
      <c r="U44" s="772" t="str">
        <f>IF($C44=0,"",SUMIFS(INPUT_DATA!BL:BL,INPUT_DATA!$A:$A,$C44,INPUT_DATA!$C:$C,"S"))</f>
        <v/>
      </c>
      <c r="V44" s="155" t="str">
        <f t="shared" si="1"/>
        <v/>
      </c>
      <c r="W44" s="149"/>
      <c r="X44" s="749" t="str">
        <f>IF($C44=0,"",SUMIFS(INPUT_DATA!AU:AU,INPUT_DATA!$A:$A,$C44,INPUT_DATA!$C:$C,"D"))</f>
        <v/>
      </c>
      <c r="Y44" s="761" t="str">
        <f>IF($C44=0,"",SUMIFS(INPUT_DATA!AV:AV,INPUT_DATA!$A:$A,$C44,INPUT_DATA!$C:$C,"D"))</f>
        <v/>
      </c>
      <c r="Z44" s="761" t="str">
        <f>IF($C44=0,"",SUMIFS(INPUT_DATA!AW:AW,INPUT_DATA!$A:$A,$C44,INPUT_DATA!$C:$C,"D"))</f>
        <v/>
      </c>
      <c r="AA44" s="762" t="str">
        <f t="shared" si="2"/>
        <v/>
      </c>
      <c r="AB44" s="761" t="str">
        <f>IF($C44=0,"",SUMIFS(INPUT_DATA!AX:AX,INPUT_DATA!$A:$A,$C44,INPUT_DATA!$C:$C,"D"))</f>
        <v/>
      </c>
      <c r="AC44" s="761" t="str">
        <f>IF($C44=0,"",SUMIFS(INPUT_DATA!AY:AY,INPUT_DATA!$A:$A,$C44,INPUT_DATA!$C:$C,"D"))</f>
        <v/>
      </c>
      <c r="AD44" s="761" t="str">
        <f>IF($C44=0,"",SUMIFS(INPUT_DATA!AZ:AZ,INPUT_DATA!$A:$A,$C44,INPUT_DATA!$C:$C,"D"))</f>
        <v/>
      </c>
      <c r="AE44" s="761" t="str">
        <f>IF($C44=0,"",SUMIFS(INPUT_DATA!BA:BA,INPUT_DATA!$A:$A,$C44,INPUT_DATA!$C:$C,"D"))</f>
        <v/>
      </c>
      <c r="AF44" s="761" t="str">
        <f>IF($C44=0,"",SUMIFS(INPUT_DATA!BB:BB,INPUT_DATA!$A:$A,$C44,INPUT_DATA!$C:$C,"D"))</f>
        <v/>
      </c>
      <c r="AG44" s="761" t="str">
        <f>IF($C44=0,"",SUMIFS(INPUT_DATA!BC:BC,INPUT_DATA!$A:$A,$C44,INPUT_DATA!$C:$C,"D"))</f>
        <v/>
      </c>
      <c r="AH44" s="761" t="str">
        <f>IF($C44=0,"",SUMIFS(INPUT_DATA!BD:BD,INPUT_DATA!$A:$A,$C44,INPUT_DATA!$C:$C,"D"))</f>
        <v/>
      </c>
      <c r="AI44" s="761" t="str">
        <f>IF($C44=0,"",SUMIFS(INPUT_DATA!BE:BE,INPUT_DATA!$A:$A,$C44,INPUT_DATA!$C:$C,"D"))</f>
        <v/>
      </c>
      <c r="AJ44" s="314" t="str">
        <f t="shared" si="3"/>
        <v/>
      </c>
      <c r="AK44" s="769" t="str">
        <f>IF($C44=0,"",SUMIFS(INPUT_DATA!BG:BG,INPUT_DATA!$A:$A,$C44,INPUT_DATA!$C:$C,"D"))</f>
        <v/>
      </c>
      <c r="AL44" s="769" t="str">
        <f>IF($C44=0,"",SUMIFS(INPUT_DATA!BH:BH,INPUT_DATA!$A:$A,$C44,INPUT_DATA!$C:$C,"D"))</f>
        <v/>
      </c>
      <c r="AM44" s="769" t="str">
        <f>IF($C44=0,"",SUMIFS(INPUT_DATA!BI:BI,INPUT_DATA!$A:$A,$C44,INPUT_DATA!$C:$C,"D"))</f>
        <v/>
      </c>
      <c r="AN44" s="767" t="str">
        <f t="shared" si="7"/>
        <v/>
      </c>
      <c r="AO44" s="772" t="str">
        <f>IF($C44=0,"",SUMIFS(INPUT_DATA!BK:BK,INPUT_DATA!$A:$A,$C44,INPUT_DATA!$C:$C,"D"))</f>
        <v/>
      </c>
      <c r="AP44" s="354" t="str">
        <f t="shared" si="8"/>
        <v/>
      </c>
      <c r="AQ44" s="149"/>
      <c r="AS44" s="354" t="str">
        <f t="shared" si="9"/>
        <v/>
      </c>
      <c r="AU44" s="378" t="str">
        <f>IF($C44=0,"",'03 - Monthly Asset Follow up'!E48+'03 - Monthly Asset Follow up'!F48-'03 - Monthly Asset Follow up'!U48+'03 - Monthly Asset Follow up'!X48-H44)</f>
        <v/>
      </c>
      <c r="AV44" s="378" t="str">
        <f>IF($C44=0,"",'03 - Monthly Asset Follow up'!BD48+'03 - Monthly Asset Follow up'!BE48-'03 - Monthly Asset Follow up'!BT48+'03 - Monthly Asset Follow up'!BW48-AA44)</f>
        <v/>
      </c>
      <c r="AX44" s="154"/>
    </row>
    <row r="45" spans="2:50" x14ac:dyDescent="0.2">
      <c r="B45" s="753" t="str">
        <f t="shared" si="4"/>
        <v/>
      </c>
      <c r="C45" s="756">
        <f>'03 - Monthly Asset Follow up'!B49</f>
        <v>0</v>
      </c>
      <c r="D45" s="149"/>
      <c r="E45" s="749" t="str">
        <f>IF($C45=0,"",SUMIFS(INPUT_DATA!AU:AU,INPUT_DATA!$A:$A,$C45,INPUT_DATA!$C:$C,"S"))</f>
        <v/>
      </c>
      <c r="F45" s="761" t="str">
        <f>IF($C45=0,"",SUMIFS(INPUT_DATA!AV:AV,INPUT_DATA!$A:$A,$C45,INPUT_DATA!$C:$C,"S"))</f>
        <v/>
      </c>
      <c r="G45" s="761" t="str">
        <f>IF($C45=0,"",SUMIFS(INPUT_DATA!AW:AW,INPUT_DATA!$A:$A,$C45,INPUT_DATA!$C:$C,"S"))</f>
        <v/>
      </c>
      <c r="H45" s="763" t="str">
        <f t="shared" si="0"/>
        <v/>
      </c>
      <c r="I45" s="761" t="str">
        <f>IF($C45=0,"",SUMIFS(INPUT_DATA!AY:AY,INPUT_DATA!$A:$A,$C45,INPUT_DATA!$C:$C,"S"))</f>
        <v/>
      </c>
      <c r="J45" s="761" t="str">
        <f>IF($C45=0,"",SUMIFS(INPUT_DATA!AZ:AZ,INPUT_DATA!$A:$A,$C45,INPUT_DATA!$C:$C,"S"))</f>
        <v/>
      </c>
      <c r="K45" s="761" t="str">
        <f>IF($C45=0,"",SUMIFS(INPUT_DATA!BA:BA,INPUT_DATA!$A:$A,$C45,INPUT_DATA!$C:$C,"S"))</f>
        <v/>
      </c>
      <c r="L45" s="761" t="str">
        <f>IF($C45=0,"",SUMIFS(INPUT_DATA!BB:BB,INPUT_DATA!$A:$A,$C45,INPUT_DATA!$C:$C,"S"))</f>
        <v/>
      </c>
      <c r="M45" s="761" t="str">
        <f>IF($C45=0,"",SUMIFS(INPUT_DATA!BC:BC,INPUT_DATA!$A:$A,$C45,INPUT_DATA!$C:$C,"S"))</f>
        <v/>
      </c>
      <c r="N45" s="761" t="str">
        <f>IF($C45=0,"",SUMIFS(INPUT_DATA!BD:BD,INPUT_DATA!$A:$A,$C45,INPUT_DATA!$C:$C,"S"))</f>
        <v/>
      </c>
      <c r="O45" s="761" t="str">
        <f>IF($C45=0,"",SUMIFS(INPUT_DATA!BE:BE,INPUT_DATA!$A:$A,$C45,INPUT_DATA!$C:$C,"S"))</f>
        <v/>
      </c>
      <c r="P45" s="761" t="str">
        <f>IF($C45=0,"",SUMIFS(INPUT_DATA!BF:BF,INPUT_DATA!$A:$A,$C45,INPUT_DATA!$C:$C,"S"))</f>
        <v/>
      </c>
      <c r="Q45" s="767" t="str">
        <f t="shared" si="5"/>
        <v/>
      </c>
      <c r="R45" s="769" t="str">
        <f>IF($C45=0,"",SUMIFS(INPUT_DATA!BH:BH,INPUT_DATA!$A:$A,$C45,INPUT_DATA!$C:$C,"S"))</f>
        <v/>
      </c>
      <c r="S45" s="769" t="str">
        <f>IF($C45=0,"",SUMIFS(INPUT_DATA!BI:BI,INPUT_DATA!$A:$A,$C45,INPUT_DATA!$C:$C,"S"))</f>
        <v/>
      </c>
      <c r="T45" s="767" t="str">
        <f t="shared" si="6"/>
        <v/>
      </c>
      <c r="U45" s="772" t="str">
        <f>IF($C45=0,"",SUMIFS(INPUT_DATA!BL:BL,INPUT_DATA!$A:$A,$C45,INPUT_DATA!$C:$C,"S"))</f>
        <v/>
      </c>
      <c r="V45" s="155" t="str">
        <f t="shared" si="1"/>
        <v/>
      </c>
      <c r="W45" s="149"/>
      <c r="X45" s="749" t="str">
        <f>IF($C45=0,"",SUMIFS(INPUT_DATA!AU:AU,INPUT_DATA!$A:$A,$C45,INPUT_DATA!$C:$C,"D"))</f>
        <v/>
      </c>
      <c r="Y45" s="761" t="str">
        <f>IF($C45=0,"",SUMIFS(INPUT_DATA!AV:AV,INPUT_DATA!$A:$A,$C45,INPUT_DATA!$C:$C,"D"))</f>
        <v/>
      </c>
      <c r="Z45" s="761" t="str">
        <f>IF($C45=0,"",SUMIFS(INPUT_DATA!AW:AW,INPUT_DATA!$A:$A,$C45,INPUT_DATA!$C:$C,"D"))</f>
        <v/>
      </c>
      <c r="AA45" s="762" t="str">
        <f t="shared" si="2"/>
        <v/>
      </c>
      <c r="AB45" s="761" t="str">
        <f>IF($C45=0,"",SUMIFS(INPUT_DATA!AX:AX,INPUT_DATA!$A:$A,$C45,INPUT_DATA!$C:$C,"D"))</f>
        <v/>
      </c>
      <c r="AC45" s="761" t="str">
        <f>IF($C45=0,"",SUMIFS(INPUT_DATA!AY:AY,INPUT_DATA!$A:$A,$C45,INPUT_DATA!$C:$C,"D"))</f>
        <v/>
      </c>
      <c r="AD45" s="761" t="str">
        <f>IF($C45=0,"",SUMIFS(INPUT_DATA!AZ:AZ,INPUT_DATA!$A:$A,$C45,INPUT_DATA!$C:$C,"D"))</f>
        <v/>
      </c>
      <c r="AE45" s="761" t="str">
        <f>IF($C45=0,"",SUMIFS(INPUT_DATA!BA:BA,INPUT_DATA!$A:$A,$C45,INPUT_DATA!$C:$C,"D"))</f>
        <v/>
      </c>
      <c r="AF45" s="761" t="str">
        <f>IF($C45=0,"",SUMIFS(INPUT_DATA!BB:BB,INPUT_DATA!$A:$A,$C45,INPUT_DATA!$C:$C,"D"))</f>
        <v/>
      </c>
      <c r="AG45" s="761" t="str">
        <f>IF($C45=0,"",SUMIFS(INPUT_DATA!BC:BC,INPUT_DATA!$A:$A,$C45,INPUT_DATA!$C:$C,"D"))</f>
        <v/>
      </c>
      <c r="AH45" s="761" t="str">
        <f>IF($C45=0,"",SUMIFS(INPUT_DATA!BD:BD,INPUT_DATA!$A:$A,$C45,INPUT_DATA!$C:$C,"D"))</f>
        <v/>
      </c>
      <c r="AI45" s="761" t="str">
        <f>IF($C45=0,"",SUMIFS(INPUT_DATA!BE:BE,INPUT_DATA!$A:$A,$C45,INPUT_DATA!$C:$C,"D"))</f>
        <v/>
      </c>
      <c r="AJ45" s="314" t="str">
        <f t="shared" si="3"/>
        <v/>
      </c>
      <c r="AK45" s="769" t="str">
        <f>IF($C45=0,"",SUMIFS(INPUT_DATA!BG:BG,INPUT_DATA!$A:$A,$C45,INPUT_DATA!$C:$C,"D"))</f>
        <v/>
      </c>
      <c r="AL45" s="769" t="str">
        <f>IF($C45=0,"",SUMIFS(INPUT_DATA!BH:BH,INPUT_DATA!$A:$A,$C45,INPUT_DATA!$C:$C,"D"))</f>
        <v/>
      </c>
      <c r="AM45" s="769" t="str">
        <f>IF($C45=0,"",SUMIFS(INPUT_DATA!BI:BI,INPUT_DATA!$A:$A,$C45,INPUT_DATA!$C:$C,"D"))</f>
        <v/>
      </c>
      <c r="AN45" s="767" t="str">
        <f t="shared" si="7"/>
        <v/>
      </c>
      <c r="AO45" s="772" t="str">
        <f>IF($C45=0,"",SUMIFS(INPUT_DATA!BK:BK,INPUT_DATA!$A:$A,$C45,INPUT_DATA!$C:$C,"D"))</f>
        <v/>
      </c>
      <c r="AP45" s="354" t="str">
        <f t="shared" si="8"/>
        <v/>
      </c>
      <c r="AQ45" s="149"/>
      <c r="AS45" s="354" t="str">
        <f t="shared" si="9"/>
        <v/>
      </c>
      <c r="AU45" s="378" t="str">
        <f>IF($C45=0,"",'03 - Monthly Asset Follow up'!E49+'03 - Monthly Asset Follow up'!F49-'03 - Monthly Asset Follow up'!U49+'03 - Monthly Asset Follow up'!X49-H45)</f>
        <v/>
      </c>
      <c r="AV45" s="378" t="str">
        <f>IF($C45=0,"",'03 - Monthly Asset Follow up'!BD49+'03 - Monthly Asset Follow up'!BE49-'03 - Monthly Asset Follow up'!BT49+'03 - Monthly Asset Follow up'!BW49-AA45)</f>
        <v/>
      </c>
      <c r="AX45" s="154"/>
    </row>
    <row r="46" spans="2:50" x14ac:dyDescent="0.2">
      <c r="B46" s="753" t="str">
        <f t="shared" si="4"/>
        <v/>
      </c>
      <c r="C46" s="756">
        <f>'03 - Monthly Asset Follow up'!B50</f>
        <v>0</v>
      </c>
      <c r="D46" s="149"/>
      <c r="E46" s="749" t="str">
        <f>IF($C46=0,"",SUMIFS(INPUT_DATA!AU:AU,INPUT_DATA!$A:$A,$C46,INPUT_DATA!$C:$C,"S"))</f>
        <v/>
      </c>
      <c r="F46" s="761" t="str">
        <f>IF($C46=0,"",SUMIFS(INPUT_DATA!AV:AV,INPUT_DATA!$A:$A,$C46,INPUT_DATA!$C:$C,"S"))</f>
        <v/>
      </c>
      <c r="G46" s="761" t="str">
        <f>IF($C46=0,"",SUMIFS(INPUT_DATA!AW:AW,INPUT_DATA!$A:$A,$C46,INPUT_DATA!$C:$C,"S"))</f>
        <v/>
      </c>
      <c r="H46" s="763" t="str">
        <f t="shared" si="0"/>
        <v/>
      </c>
      <c r="I46" s="761" t="str">
        <f>IF($C46=0,"",SUMIFS(INPUT_DATA!AY:AY,INPUT_DATA!$A:$A,$C46,INPUT_DATA!$C:$C,"S"))</f>
        <v/>
      </c>
      <c r="J46" s="761" t="str">
        <f>IF($C46=0,"",SUMIFS(INPUT_DATA!AZ:AZ,INPUT_DATA!$A:$A,$C46,INPUT_DATA!$C:$C,"S"))</f>
        <v/>
      </c>
      <c r="K46" s="761" t="str">
        <f>IF($C46=0,"",SUMIFS(INPUT_DATA!BA:BA,INPUT_DATA!$A:$A,$C46,INPUT_DATA!$C:$C,"S"))</f>
        <v/>
      </c>
      <c r="L46" s="761" t="str">
        <f>IF($C46=0,"",SUMIFS(INPUT_DATA!BB:BB,INPUT_DATA!$A:$A,$C46,INPUT_DATA!$C:$C,"S"))</f>
        <v/>
      </c>
      <c r="M46" s="761" t="str">
        <f>IF($C46=0,"",SUMIFS(INPUT_DATA!BC:BC,INPUT_DATA!$A:$A,$C46,INPUT_DATA!$C:$C,"S"))</f>
        <v/>
      </c>
      <c r="N46" s="761" t="str">
        <f>IF($C46=0,"",SUMIFS(INPUT_DATA!BD:BD,INPUT_DATA!$A:$A,$C46,INPUT_DATA!$C:$C,"S"))</f>
        <v/>
      </c>
      <c r="O46" s="761" t="str">
        <f>IF($C46=0,"",SUMIFS(INPUT_DATA!BE:BE,INPUT_DATA!$A:$A,$C46,INPUT_DATA!$C:$C,"S"))</f>
        <v/>
      </c>
      <c r="P46" s="761" t="str">
        <f>IF($C46=0,"",SUMIFS(INPUT_DATA!BF:BF,INPUT_DATA!$A:$A,$C46,INPUT_DATA!$C:$C,"S"))</f>
        <v/>
      </c>
      <c r="Q46" s="767" t="str">
        <f t="shared" si="5"/>
        <v/>
      </c>
      <c r="R46" s="769" t="str">
        <f>IF($C46=0,"",SUMIFS(INPUT_DATA!BH:BH,INPUT_DATA!$A:$A,$C46,INPUT_DATA!$C:$C,"S"))</f>
        <v/>
      </c>
      <c r="S46" s="769" t="str">
        <f>IF($C46=0,"",SUMIFS(INPUT_DATA!BI:BI,INPUT_DATA!$A:$A,$C46,INPUT_DATA!$C:$C,"S"))</f>
        <v/>
      </c>
      <c r="T46" s="767" t="str">
        <f t="shared" si="6"/>
        <v/>
      </c>
      <c r="U46" s="772" t="str">
        <f>IF($C46=0,"",SUMIFS(INPUT_DATA!BL:BL,INPUT_DATA!$A:$A,$C46,INPUT_DATA!$C:$C,"S"))</f>
        <v/>
      </c>
      <c r="V46" s="155" t="str">
        <f t="shared" si="1"/>
        <v/>
      </c>
      <c r="W46" s="149"/>
      <c r="X46" s="749" t="str">
        <f>IF($C46=0,"",SUMIFS(INPUT_DATA!AU:AU,INPUT_DATA!$A:$A,$C46,INPUT_DATA!$C:$C,"D"))</f>
        <v/>
      </c>
      <c r="Y46" s="761" t="str">
        <f>IF($C46=0,"",SUMIFS(INPUT_DATA!AV:AV,INPUT_DATA!$A:$A,$C46,INPUT_DATA!$C:$C,"D"))</f>
        <v/>
      </c>
      <c r="Z46" s="761" t="str">
        <f>IF($C46=0,"",SUMIFS(INPUT_DATA!AW:AW,INPUT_DATA!$A:$A,$C46,INPUT_DATA!$C:$C,"D"))</f>
        <v/>
      </c>
      <c r="AA46" s="762" t="str">
        <f t="shared" si="2"/>
        <v/>
      </c>
      <c r="AB46" s="761" t="str">
        <f>IF($C46=0,"",SUMIFS(INPUT_DATA!AX:AX,INPUT_DATA!$A:$A,$C46,INPUT_DATA!$C:$C,"D"))</f>
        <v/>
      </c>
      <c r="AC46" s="761" t="str">
        <f>IF($C46=0,"",SUMIFS(INPUT_DATA!AY:AY,INPUT_DATA!$A:$A,$C46,INPUT_DATA!$C:$C,"D"))</f>
        <v/>
      </c>
      <c r="AD46" s="761" t="str">
        <f>IF($C46=0,"",SUMIFS(INPUT_DATA!AZ:AZ,INPUT_DATA!$A:$A,$C46,INPUT_DATA!$C:$C,"D"))</f>
        <v/>
      </c>
      <c r="AE46" s="761" t="str">
        <f>IF($C46=0,"",SUMIFS(INPUT_DATA!BA:BA,INPUT_DATA!$A:$A,$C46,INPUT_DATA!$C:$C,"D"))</f>
        <v/>
      </c>
      <c r="AF46" s="761" t="str">
        <f>IF($C46=0,"",SUMIFS(INPUT_DATA!BB:BB,INPUT_DATA!$A:$A,$C46,INPUT_DATA!$C:$C,"D"))</f>
        <v/>
      </c>
      <c r="AG46" s="761" t="str">
        <f>IF($C46=0,"",SUMIFS(INPUT_DATA!BC:BC,INPUT_DATA!$A:$A,$C46,INPUT_DATA!$C:$C,"D"))</f>
        <v/>
      </c>
      <c r="AH46" s="761" t="str">
        <f>IF($C46=0,"",SUMIFS(INPUT_DATA!BD:BD,INPUT_DATA!$A:$A,$C46,INPUT_DATA!$C:$C,"D"))</f>
        <v/>
      </c>
      <c r="AI46" s="761" t="str">
        <f>IF($C46=0,"",SUMIFS(INPUT_DATA!BE:BE,INPUT_DATA!$A:$A,$C46,INPUT_DATA!$C:$C,"D"))</f>
        <v/>
      </c>
      <c r="AJ46" s="314" t="str">
        <f t="shared" si="3"/>
        <v/>
      </c>
      <c r="AK46" s="769" t="str">
        <f>IF($C46=0,"",SUMIFS(INPUT_DATA!BG:BG,INPUT_DATA!$A:$A,$C46,INPUT_DATA!$C:$C,"D"))</f>
        <v/>
      </c>
      <c r="AL46" s="769" t="str">
        <f>IF($C46=0,"",SUMIFS(INPUT_DATA!BH:BH,INPUT_DATA!$A:$A,$C46,INPUT_DATA!$C:$C,"D"))</f>
        <v/>
      </c>
      <c r="AM46" s="769" t="str">
        <f>IF($C46=0,"",SUMIFS(INPUT_DATA!BI:BI,INPUT_DATA!$A:$A,$C46,INPUT_DATA!$C:$C,"D"))</f>
        <v/>
      </c>
      <c r="AN46" s="767" t="str">
        <f t="shared" si="7"/>
        <v/>
      </c>
      <c r="AO46" s="772" t="str">
        <f>IF($C46=0,"",SUMIFS(INPUT_DATA!BK:BK,INPUT_DATA!$A:$A,$C46,INPUT_DATA!$C:$C,"D"))</f>
        <v/>
      </c>
      <c r="AP46" s="354" t="str">
        <f t="shared" si="8"/>
        <v/>
      </c>
      <c r="AQ46" s="149"/>
      <c r="AS46" s="354" t="str">
        <f t="shared" si="9"/>
        <v/>
      </c>
      <c r="AU46" s="378" t="str">
        <f>IF($C46=0,"",'03 - Monthly Asset Follow up'!E50+'03 - Monthly Asset Follow up'!F50-'03 - Monthly Asset Follow up'!U50+'03 - Monthly Asset Follow up'!X50-H46)</f>
        <v/>
      </c>
      <c r="AV46" s="378" t="str">
        <f>IF($C46=0,"",'03 - Monthly Asset Follow up'!BD50+'03 - Monthly Asset Follow up'!BE50-'03 - Monthly Asset Follow up'!BT50+'03 - Monthly Asset Follow up'!BW50-AA46)</f>
        <v/>
      </c>
      <c r="AX46" s="154"/>
    </row>
    <row r="47" spans="2:50" x14ac:dyDescent="0.2">
      <c r="B47" s="753" t="str">
        <f t="shared" si="4"/>
        <v/>
      </c>
      <c r="C47" s="756">
        <f>'03 - Monthly Asset Follow up'!B51</f>
        <v>0</v>
      </c>
      <c r="D47" s="149"/>
      <c r="E47" s="749" t="str">
        <f>IF($C47=0,"",SUMIFS(INPUT_DATA!AU:AU,INPUT_DATA!$A:$A,$C47,INPUT_DATA!$C:$C,"S"))</f>
        <v/>
      </c>
      <c r="F47" s="761" t="str">
        <f>IF($C47=0,"",SUMIFS(INPUT_DATA!AV:AV,INPUT_DATA!$A:$A,$C47,INPUT_DATA!$C:$C,"S"))</f>
        <v/>
      </c>
      <c r="G47" s="761" t="str">
        <f>IF($C47=0,"",SUMIFS(INPUT_DATA!AW:AW,INPUT_DATA!$A:$A,$C47,INPUT_DATA!$C:$C,"S"))</f>
        <v/>
      </c>
      <c r="H47" s="763" t="str">
        <f t="shared" si="0"/>
        <v/>
      </c>
      <c r="I47" s="761" t="str">
        <f>IF($C47=0,"",SUMIFS(INPUT_DATA!AY:AY,INPUT_DATA!$A:$A,$C47,INPUT_DATA!$C:$C,"S"))</f>
        <v/>
      </c>
      <c r="J47" s="761" t="str">
        <f>IF($C47=0,"",SUMIFS(INPUT_DATA!AZ:AZ,INPUT_DATA!$A:$A,$C47,INPUT_DATA!$C:$C,"S"))</f>
        <v/>
      </c>
      <c r="K47" s="761" t="str">
        <f>IF($C47=0,"",SUMIFS(INPUT_DATA!BA:BA,INPUT_DATA!$A:$A,$C47,INPUT_DATA!$C:$C,"S"))</f>
        <v/>
      </c>
      <c r="L47" s="761" t="str">
        <f>IF($C47=0,"",SUMIFS(INPUT_DATA!BB:BB,INPUT_DATA!$A:$A,$C47,INPUT_DATA!$C:$C,"S"))</f>
        <v/>
      </c>
      <c r="M47" s="761" t="str">
        <f>IF($C47=0,"",SUMIFS(INPUT_DATA!BC:BC,INPUT_DATA!$A:$A,$C47,INPUT_DATA!$C:$C,"S"))</f>
        <v/>
      </c>
      <c r="N47" s="761" t="str">
        <f>IF($C47=0,"",SUMIFS(INPUT_DATA!BD:BD,INPUT_DATA!$A:$A,$C47,INPUT_DATA!$C:$C,"S"))</f>
        <v/>
      </c>
      <c r="O47" s="761" t="str">
        <f>IF($C47=0,"",SUMIFS(INPUT_DATA!BE:BE,INPUT_DATA!$A:$A,$C47,INPUT_DATA!$C:$C,"S"))</f>
        <v/>
      </c>
      <c r="P47" s="761" t="str">
        <f>IF($C47=0,"",SUMIFS(INPUT_DATA!BF:BF,INPUT_DATA!$A:$A,$C47,INPUT_DATA!$C:$C,"S"))</f>
        <v/>
      </c>
      <c r="Q47" s="767" t="str">
        <f t="shared" si="5"/>
        <v/>
      </c>
      <c r="R47" s="769" t="str">
        <f>IF($C47=0,"",SUMIFS(INPUT_DATA!BH:BH,INPUT_DATA!$A:$A,$C47,INPUT_DATA!$C:$C,"S"))</f>
        <v/>
      </c>
      <c r="S47" s="769" t="str">
        <f>IF($C47=0,"",SUMIFS(INPUT_DATA!BI:BI,INPUT_DATA!$A:$A,$C47,INPUT_DATA!$C:$C,"S"))</f>
        <v/>
      </c>
      <c r="T47" s="767" t="str">
        <f t="shared" si="6"/>
        <v/>
      </c>
      <c r="U47" s="772" t="str">
        <f>IF($C47=0,"",SUMIFS(INPUT_DATA!BL:BL,INPUT_DATA!$A:$A,$C47,INPUT_DATA!$C:$C,"S"))</f>
        <v/>
      </c>
      <c r="V47" s="155" t="str">
        <f t="shared" si="1"/>
        <v/>
      </c>
      <c r="W47" s="149"/>
      <c r="X47" s="749" t="str">
        <f>IF($C47=0,"",SUMIFS(INPUT_DATA!AU:AU,INPUT_DATA!$A:$A,$C47,INPUT_DATA!$C:$C,"D"))</f>
        <v/>
      </c>
      <c r="Y47" s="761" t="str">
        <f>IF($C47=0,"",SUMIFS(INPUT_DATA!AV:AV,INPUT_DATA!$A:$A,$C47,INPUT_DATA!$C:$C,"D"))</f>
        <v/>
      </c>
      <c r="Z47" s="761" t="str">
        <f>IF($C47=0,"",SUMIFS(INPUT_DATA!AW:AW,INPUT_DATA!$A:$A,$C47,INPUT_DATA!$C:$C,"D"))</f>
        <v/>
      </c>
      <c r="AA47" s="762" t="str">
        <f t="shared" si="2"/>
        <v/>
      </c>
      <c r="AB47" s="761" t="str">
        <f>IF($C47=0,"",SUMIFS(INPUT_DATA!AX:AX,INPUT_DATA!$A:$A,$C47,INPUT_DATA!$C:$C,"D"))</f>
        <v/>
      </c>
      <c r="AC47" s="761" t="str">
        <f>IF($C47=0,"",SUMIFS(INPUT_DATA!AY:AY,INPUT_DATA!$A:$A,$C47,INPUT_DATA!$C:$C,"D"))</f>
        <v/>
      </c>
      <c r="AD47" s="761" t="str">
        <f>IF($C47=0,"",SUMIFS(INPUT_DATA!AZ:AZ,INPUT_DATA!$A:$A,$C47,INPUT_DATA!$C:$C,"D"))</f>
        <v/>
      </c>
      <c r="AE47" s="761" t="str">
        <f>IF($C47=0,"",SUMIFS(INPUT_DATA!BA:BA,INPUT_DATA!$A:$A,$C47,INPUT_DATA!$C:$C,"D"))</f>
        <v/>
      </c>
      <c r="AF47" s="761" t="str">
        <f>IF($C47=0,"",SUMIFS(INPUT_DATA!BB:BB,INPUT_DATA!$A:$A,$C47,INPUT_DATA!$C:$C,"D"))</f>
        <v/>
      </c>
      <c r="AG47" s="761" t="str">
        <f>IF($C47=0,"",SUMIFS(INPUT_DATA!BC:BC,INPUT_DATA!$A:$A,$C47,INPUT_DATA!$C:$C,"D"))</f>
        <v/>
      </c>
      <c r="AH47" s="761" t="str">
        <f>IF($C47=0,"",SUMIFS(INPUT_DATA!BD:BD,INPUT_DATA!$A:$A,$C47,INPUT_DATA!$C:$C,"D"))</f>
        <v/>
      </c>
      <c r="AI47" s="761" t="str">
        <f>IF($C47=0,"",SUMIFS(INPUT_DATA!BE:BE,INPUT_DATA!$A:$A,$C47,INPUT_DATA!$C:$C,"D"))</f>
        <v/>
      </c>
      <c r="AJ47" s="314" t="str">
        <f t="shared" si="3"/>
        <v/>
      </c>
      <c r="AK47" s="769" t="str">
        <f>IF($C47=0,"",SUMIFS(INPUT_DATA!BG:BG,INPUT_DATA!$A:$A,$C47,INPUT_DATA!$C:$C,"D"))</f>
        <v/>
      </c>
      <c r="AL47" s="769" t="str">
        <f>IF($C47=0,"",SUMIFS(INPUT_DATA!BH:BH,INPUT_DATA!$A:$A,$C47,INPUT_DATA!$C:$C,"D"))</f>
        <v/>
      </c>
      <c r="AM47" s="769" t="str">
        <f>IF($C47=0,"",SUMIFS(INPUT_DATA!BI:BI,INPUT_DATA!$A:$A,$C47,INPUT_DATA!$C:$C,"D"))</f>
        <v/>
      </c>
      <c r="AN47" s="767" t="str">
        <f t="shared" si="7"/>
        <v/>
      </c>
      <c r="AO47" s="772" t="str">
        <f>IF($C47=0,"",SUMIFS(INPUT_DATA!BK:BK,INPUT_DATA!$A:$A,$C47,INPUT_DATA!$C:$C,"D"))</f>
        <v/>
      </c>
      <c r="AP47" s="354" t="str">
        <f t="shared" si="8"/>
        <v/>
      </c>
      <c r="AQ47" s="149"/>
      <c r="AS47" s="354" t="str">
        <f t="shared" si="9"/>
        <v/>
      </c>
      <c r="AU47" s="378" t="str">
        <f>IF($C47=0,"",'03 - Monthly Asset Follow up'!E51+'03 - Monthly Asset Follow up'!F51-'03 - Monthly Asset Follow up'!U51+'03 - Monthly Asset Follow up'!X51-H47)</f>
        <v/>
      </c>
      <c r="AV47" s="378" t="str">
        <f>IF($C47=0,"",'03 - Monthly Asset Follow up'!BD51+'03 - Monthly Asset Follow up'!BE51-'03 - Monthly Asset Follow up'!BT51+'03 - Monthly Asset Follow up'!BW51-AA47)</f>
        <v/>
      </c>
      <c r="AX47" s="154"/>
    </row>
    <row r="48" spans="2:50" x14ac:dyDescent="0.2">
      <c r="B48" s="753" t="str">
        <f t="shared" si="4"/>
        <v/>
      </c>
      <c r="C48" s="756">
        <f>'03 - Monthly Asset Follow up'!B52</f>
        <v>0</v>
      </c>
      <c r="D48" s="149"/>
      <c r="E48" s="749" t="str">
        <f>IF($C48=0,"",SUMIFS(INPUT_DATA!AU:AU,INPUT_DATA!$A:$A,$C48,INPUT_DATA!$C:$C,"S"))</f>
        <v/>
      </c>
      <c r="F48" s="761" t="str">
        <f>IF($C48=0,"",SUMIFS(INPUT_DATA!AV:AV,INPUT_DATA!$A:$A,$C48,INPUT_DATA!$C:$C,"S"))</f>
        <v/>
      </c>
      <c r="G48" s="761" t="str">
        <f>IF($C48=0,"",SUMIFS(INPUT_DATA!AW:AW,INPUT_DATA!$A:$A,$C48,INPUT_DATA!$C:$C,"S"))</f>
        <v/>
      </c>
      <c r="H48" s="763" t="str">
        <f t="shared" si="0"/>
        <v/>
      </c>
      <c r="I48" s="761" t="str">
        <f>IF($C48=0,"",SUMIFS(INPUT_DATA!AY:AY,INPUT_DATA!$A:$A,$C48,INPUT_DATA!$C:$C,"S"))</f>
        <v/>
      </c>
      <c r="J48" s="761" t="str">
        <f>IF($C48=0,"",SUMIFS(INPUT_DATA!AZ:AZ,INPUT_DATA!$A:$A,$C48,INPUT_DATA!$C:$C,"S"))</f>
        <v/>
      </c>
      <c r="K48" s="761" t="str">
        <f>IF($C48=0,"",SUMIFS(INPUT_DATA!BA:BA,INPUT_DATA!$A:$A,$C48,INPUT_DATA!$C:$C,"S"))</f>
        <v/>
      </c>
      <c r="L48" s="761" t="str">
        <f>IF($C48=0,"",SUMIFS(INPUT_DATA!BB:BB,INPUT_DATA!$A:$A,$C48,INPUT_DATA!$C:$C,"S"))</f>
        <v/>
      </c>
      <c r="M48" s="761" t="str">
        <f>IF($C48=0,"",SUMIFS(INPUT_DATA!BC:BC,INPUT_DATA!$A:$A,$C48,INPUT_DATA!$C:$C,"S"))</f>
        <v/>
      </c>
      <c r="N48" s="761" t="str">
        <f>IF($C48=0,"",SUMIFS(INPUT_DATA!BD:BD,INPUT_DATA!$A:$A,$C48,INPUT_DATA!$C:$C,"S"))</f>
        <v/>
      </c>
      <c r="O48" s="761" t="str">
        <f>IF($C48=0,"",SUMIFS(INPUT_DATA!BE:BE,INPUT_DATA!$A:$A,$C48,INPUT_DATA!$C:$C,"S"))</f>
        <v/>
      </c>
      <c r="P48" s="761" t="str">
        <f>IF($C48=0,"",SUMIFS(INPUT_DATA!BF:BF,INPUT_DATA!$A:$A,$C48,INPUT_DATA!$C:$C,"S"))</f>
        <v/>
      </c>
      <c r="Q48" s="767" t="str">
        <f t="shared" si="5"/>
        <v/>
      </c>
      <c r="R48" s="769" t="str">
        <f>IF($C48=0,"",SUMIFS(INPUT_DATA!BH:BH,INPUT_DATA!$A:$A,$C48,INPUT_DATA!$C:$C,"S"))</f>
        <v/>
      </c>
      <c r="S48" s="769" t="str">
        <f>IF($C48=0,"",SUMIFS(INPUT_DATA!BI:BI,INPUT_DATA!$A:$A,$C48,INPUT_DATA!$C:$C,"S"))</f>
        <v/>
      </c>
      <c r="T48" s="767" t="str">
        <f t="shared" si="6"/>
        <v/>
      </c>
      <c r="U48" s="772" t="str">
        <f>IF($C48=0,"",SUMIFS(INPUT_DATA!BL:BL,INPUT_DATA!$A:$A,$C48,INPUT_DATA!$C:$C,"S"))</f>
        <v/>
      </c>
      <c r="V48" s="155" t="str">
        <f t="shared" si="1"/>
        <v/>
      </c>
      <c r="W48" s="149"/>
      <c r="X48" s="749" t="str">
        <f>IF($C48=0,"",SUMIFS(INPUT_DATA!AU:AU,INPUT_DATA!$A:$A,$C48,INPUT_DATA!$C:$C,"D"))</f>
        <v/>
      </c>
      <c r="Y48" s="761" t="str">
        <f>IF($C48=0,"",SUMIFS(INPUT_DATA!AV:AV,INPUT_DATA!$A:$A,$C48,INPUT_DATA!$C:$C,"D"))</f>
        <v/>
      </c>
      <c r="Z48" s="761" t="str">
        <f>IF($C48=0,"",SUMIFS(INPUT_DATA!AW:AW,INPUT_DATA!$A:$A,$C48,INPUT_DATA!$C:$C,"D"))</f>
        <v/>
      </c>
      <c r="AA48" s="762" t="str">
        <f t="shared" si="2"/>
        <v/>
      </c>
      <c r="AB48" s="761" t="str">
        <f>IF($C48=0,"",SUMIFS(INPUT_DATA!AX:AX,INPUT_DATA!$A:$A,$C48,INPUT_DATA!$C:$C,"D"))</f>
        <v/>
      </c>
      <c r="AC48" s="761" t="str">
        <f>IF($C48=0,"",SUMIFS(INPUT_DATA!AY:AY,INPUT_DATA!$A:$A,$C48,INPUT_DATA!$C:$C,"D"))</f>
        <v/>
      </c>
      <c r="AD48" s="761" t="str">
        <f>IF($C48=0,"",SUMIFS(INPUT_DATA!AZ:AZ,INPUT_DATA!$A:$A,$C48,INPUT_DATA!$C:$C,"D"))</f>
        <v/>
      </c>
      <c r="AE48" s="761" t="str">
        <f>IF($C48=0,"",SUMIFS(INPUT_DATA!BA:BA,INPUT_DATA!$A:$A,$C48,INPUT_DATA!$C:$C,"D"))</f>
        <v/>
      </c>
      <c r="AF48" s="761" t="str">
        <f>IF($C48=0,"",SUMIFS(INPUT_DATA!BB:BB,INPUT_DATA!$A:$A,$C48,INPUT_DATA!$C:$C,"D"))</f>
        <v/>
      </c>
      <c r="AG48" s="761" t="str">
        <f>IF($C48=0,"",SUMIFS(INPUT_DATA!BC:BC,INPUT_DATA!$A:$A,$C48,INPUT_DATA!$C:$C,"D"))</f>
        <v/>
      </c>
      <c r="AH48" s="761" t="str">
        <f>IF($C48=0,"",SUMIFS(INPUT_DATA!BD:BD,INPUT_DATA!$A:$A,$C48,INPUT_DATA!$C:$C,"D"))</f>
        <v/>
      </c>
      <c r="AI48" s="761" t="str">
        <f>IF($C48=0,"",SUMIFS(INPUT_DATA!BE:BE,INPUT_DATA!$A:$A,$C48,INPUT_DATA!$C:$C,"D"))</f>
        <v/>
      </c>
      <c r="AJ48" s="314" t="str">
        <f t="shared" si="3"/>
        <v/>
      </c>
      <c r="AK48" s="769" t="str">
        <f>IF($C48=0,"",SUMIFS(INPUT_DATA!BG:BG,INPUT_DATA!$A:$A,$C48,INPUT_DATA!$C:$C,"D"))</f>
        <v/>
      </c>
      <c r="AL48" s="769" t="str">
        <f>IF($C48=0,"",SUMIFS(INPUT_DATA!BH:BH,INPUT_DATA!$A:$A,$C48,INPUT_DATA!$C:$C,"D"))</f>
        <v/>
      </c>
      <c r="AM48" s="769" t="str">
        <f>IF($C48=0,"",SUMIFS(INPUT_DATA!BI:BI,INPUT_DATA!$A:$A,$C48,INPUT_DATA!$C:$C,"D"))</f>
        <v/>
      </c>
      <c r="AN48" s="767" t="str">
        <f t="shared" si="7"/>
        <v/>
      </c>
      <c r="AO48" s="772" t="str">
        <f>IF($C48=0,"",SUMIFS(INPUT_DATA!BK:BK,INPUT_DATA!$A:$A,$C48,INPUT_DATA!$C:$C,"D"))</f>
        <v/>
      </c>
      <c r="AP48" s="354" t="str">
        <f t="shared" si="8"/>
        <v/>
      </c>
      <c r="AQ48" s="149"/>
      <c r="AS48" s="354" t="str">
        <f t="shared" si="9"/>
        <v/>
      </c>
      <c r="AU48" s="378" t="str">
        <f>IF($C48=0,"",'03 - Monthly Asset Follow up'!E52+'03 - Monthly Asset Follow up'!F52-'03 - Monthly Asset Follow up'!U52+'03 - Monthly Asset Follow up'!X52-H48)</f>
        <v/>
      </c>
      <c r="AV48" s="378" t="str">
        <f>IF($C48=0,"",'03 - Monthly Asset Follow up'!BD52+'03 - Monthly Asset Follow up'!BE52-'03 - Monthly Asset Follow up'!BT52+'03 - Monthly Asset Follow up'!BW52-AA48)</f>
        <v/>
      </c>
      <c r="AX48" s="154"/>
    </row>
    <row r="49" spans="2:50" x14ac:dyDescent="0.2">
      <c r="B49" s="753" t="str">
        <f t="shared" si="4"/>
        <v/>
      </c>
      <c r="C49" s="756">
        <f>'03 - Monthly Asset Follow up'!B53</f>
        <v>0</v>
      </c>
      <c r="D49" s="149"/>
      <c r="E49" s="749" t="str">
        <f>IF($C49=0,"",SUMIFS(INPUT_DATA!AU:AU,INPUT_DATA!$A:$A,$C49,INPUT_DATA!$C:$C,"S"))</f>
        <v/>
      </c>
      <c r="F49" s="761" t="str">
        <f>IF($C49=0,"",SUMIFS(INPUT_DATA!AV:AV,INPUT_DATA!$A:$A,$C49,INPUT_DATA!$C:$C,"S"))</f>
        <v/>
      </c>
      <c r="G49" s="761" t="str">
        <f>IF($C49=0,"",SUMIFS(INPUT_DATA!AW:AW,INPUT_DATA!$A:$A,$C49,INPUT_DATA!$C:$C,"S"))</f>
        <v/>
      </c>
      <c r="H49" s="763" t="str">
        <f t="shared" si="0"/>
        <v/>
      </c>
      <c r="I49" s="761" t="str">
        <f>IF($C49=0,"",SUMIFS(INPUT_DATA!AY:AY,INPUT_DATA!$A:$A,$C49,INPUT_DATA!$C:$C,"S"))</f>
        <v/>
      </c>
      <c r="J49" s="761" t="str">
        <f>IF($C49=0,"",SUMIFS(INPUT_DATA!AZ:AZ,INPUT_DATA!$A:$A,$C49,INPUT_DATA!$C:$C,"S"))</f>
        <v/>
      </c>
      <c r="K49" s="761" t="str">
        <f>IF($C49=0,"",SUMIFS(INPUT_DATA!BA:BA,INPUT_DATA!$A:$A,$C49,INPUT_DATA!$C:$C,"S"))</f>
        <v/>
      </c>
      <c r="L49" s="761" t="str">
        <f>IF($C49=0,"",SUMIFS(INPUT_DATA!BB:BB,INPUT_DATA!$A:$A,$C49,INPUT_DATA!$C:$C,"S"))</f>
        <v/>
      </c>
      <c r="M49" s="761" t="str">
        <f>IF($C49=0,"",SUMIFS(INPUT_DATA!BC:BC,INPUT_DATA!$A:$A,$C49,INPUT_DATA!$C:$C,"S"))</f>
        <v/>
      </c>
      <c r="N49" s="761" t="str">
        <f>IF($C49=0,"",SUMIFS(INPUT_DATA!BD:BD,INPUT_DATA!$A:$A,$C49,INPUT_DATA!$C:$C,"S"))</f>
        <v/>
      </c>
      <c r="O49" s="761" t="str">
        <f>IF($C49=0,"",SUMIFS(INPUT_DATA!BE:BE,INPUT_DATA!$A:$A,$C49,INPUT_DATA!$C:$C,"S"))</f>
        <v/>
      </c>
      <c r="P49" s="761" t="str">
        <f>IF($C49=0,"",SUMIFS(INPUT_DATA!BF:BF,INPUT_DATA!$A:$A,$C49,INPUT_DATA!$C:$C,"S"))</f>
        <v/>
      </c>
      <c r="Q49" s="767" t="str">
        <f t="shared" si="5"/>
        <v/>
      </c>
      <c r="R49" s="769" t="str">
        <f>IF($C49=0,"",SUMIFS(INPUT_DATA!BH:BH,INPUT_DATA!$A:$A,$C49,INPUT_DATA!$C:$C,"S"))</f>
        <v/>
      </c>
      <c r="S49" s="769" t="str">
        <f>IF($C49=0,"",SUMIFS(INPUT_DATA!BI:BI,INPUT_DATA!$A:$A,$C49,INPUT_DATA!$C:$C,"S"))</f>
        <v/>
      </c>
      <c r="T49" s="767" t="str">
        <f t="shared" si="6"/>
        <v/>
      </c>
      <c r="U49" s="772" t="str">
        <f>IF($C49=0,"",SUMIFS(INPUT_DATA!BL:BL,INPUT_DATA!$A:$A,$C49,INPUT_DATA!$C:$C,"S"))</f>
        <v/>
      </c>
      <c r="V49" s="155" t="str">
        <f t="shared" si="1"/>
        <v/>
      </c>
      <c r="W49" s="149"/>
      <c r="X49" s="749" t="str">
        <f>IF($C49=0,"",SUMIFS(INPUT_DATA!AU:AU,INPUT_DATA!$A:$A,$C49,INPUT_DATA!$C:$C,"D"))</f>
        <v/>
      </c>
      <c r="Y49" s="761" t="str">
        <f>IF($C49=0,"",SUMIFS(INPUT_DATA!AV:AV,INPUT_DATA!$A:$A,$C49,INPUT_DATA!$C:$C,"D"))</f>
        <v/>
      </c>
      <c r="Z49" s="761" t="str">
        <f>IF($C49=0,"",SUMIFS(INPUT_DATA!AW:AW,INPUT_DATA!$A:$A,$C49,INPUT_DATA!$C:$C,"D"))</f>
        <v/>
      </c>
      <c r="AA49" s="762" t="str">
        <f t="shared" si="2"/>
        <v/>
      </c>
      <c r="AB49" s="761" t="str">
        <f>IF($C49=0,"",SUMIFS(INPUT_DATA!AX:AX,INPUT_DATA!$A:$A,$C49,INPUT_DATA!$C:$C,"D"))</f>
        <v/>
      </c>
      <c r="AC49" s="761" t="str">
        <f>IF($C49=0,"",SUMIFS(INPUT_DATA!AY:AY,INPUT_DATA!$A:$A,$C49,INPUT_DATA!$C:$C,"D"))</f>
        <v/>
      </c>
      <c r="AD49" s="761" t="str">
        <f>IF($C49=0,"",SUMIFS(INPUT_DATA!AZ:AZ,INPUT_DATA!$A:$A,$C49,INPUT_DATA!$C:$C,"D"))</f>
        <v/>
      </c>
      <c r="AE49" s="761" t="str">
        <f>IF($C49=0,"",SUMIFS(INPUT_DATA!BA:BA,INPUT_DATA!$A:$A,$C49,INPUT_DATA!$C:$C,"D"))</f>
        <v/>
      </c>
      <c r="AF49" s="761" t="str">
        <f>IF($C49=0,"",SUMIFS(INPUT_DATA!BB:BB,INPUT_DATA!$A:$A,$C49,INPUT_DATA!$C:$C,"D"))</f>
        <v/>
      </c>
      <c r="AG49" s="761" t="str">
        <f>IF($C49=0,"",SUMIFS(INPUT_DATA!BC:BC,INPUT_DATA!$A:$A,$C49,INPUT_DATA!$C:$C,"D"))</f>
        <v/>
      </c>
      <c r="AH49" s="761" t="str">
        <f>IF($C49=0,"",SUMIFS(INPUT_DATA!BD:BD,INPUT_DATA!$A:$A,$C49,INPUT_DATA!$C:$C,"D"))</f>
        <v/>
      </c>
      <c r="AI49" s="761" t="str">
        <f>IF($C49=0,"",SUMIFS(INPUT_DATA!BE:BE,INPUT_DATA!$A:$A,$C49,INPUT_DATA!$C:$C,"D"))</f>
        <v/>
      </c>
      <c r="AJ49" s="314" t="str">
        <f t="shared" si="3"/>
        <v/>
      </c>
      <c r="AK49" s="769" t="str">
        <f>IF($C49=0,"",SUMIFS(INPUT_DATA!BG:BG,INPUT_DATA!$A:$A,$C49,INPUT_DATA!$C:$C,"D"))</f>
        <v/>
      </c>
      <c r="AL49" s="769" t="str">
        <f>IF($C49=0,"",SUMIFS(INPUT_DATA!BH:BH,INPUT_DATA!$A:$A,$C49,INPUT_DATA!$C:$C,"D"))</f>
        <v/>
      </c>
      <c r="AM49" s="769" t="str">
        <f>IF($C49=0,"",SUMIFS(INPUT_DATA!BI:BI,INPUT_DATA!$A:$A,$C49,INPUT_DATA!$C:$C,"D"))</f>
        <v/>
      </c>
      <c r="AN49" s="767" t="str">
        <f t="shared" si="7"/>
        <v/>
      </c>
      <c r="AO49" s="772" t="str">
        <f>IF($C49=0,"",SUMIFS(INPUT_DATA!BK:BK,INPUT_DATA!$A:$A,$C49,INPUT_DATA!$C:$C,"D"))</f>
        <v/>
      </c>
      <c r="AP49" s="354" t="str">
        <f t="shared" si="8"/>
        <v/>
      </c>
      <c r="AQ49" s="149"/>
      <c r="AS49" s="354" t="str">
        <f t="shared" si="9"/>
        <v/>
      </c>
      <c r="AU49" s="378" t="str">
        <f>IF($C49=0,"",'03 - Monthly Asset Follow up'!E53+'03 - Monthly Asset Follow up'!F53-'03 - Monthly Asset Follow up'!U53+'03 - Monthly Asset Follow up'!X53-H49)</f>
        <v/>
      </c>
      <c r="AV49" s="378" t="str">
        <f>IF($C49=0,"",'03 - Monthly Asset Follow up'!BD53+'03 - Monthly Asset Follow up'!BE53-'03 - Monthly Asset Follow up'!BT53+'03 - Monthly Asset Follow up'!BW53-AA49)</f>
        <v/>
      </c>
      <c r="AX49" s="154"/>
    </row>
    <row r="50" spans="2:50" x14ac:dyDescent="0.2">
      <c r="B50" s="753" t="str">
        <f t="shared" si="4"/>
        <v/>
      </c>
      <c r="C50" s="756">
        <f>'03 - Monthly Asset Follow up'!B54</f>
        <v>0</v>
      </c>
      <c r="D50" s="149"/>
      <c r="E50" s="749" t="str">
        <f>IF($C50=0,"",SUMIFS(INPUT_DATA!AU:AU,INPUT_DATA!$A:$A,$C50,INPUT_DATA!$C:$C,"S"))</f>
        <v/>
      </c>
      <c r="F50" s="761" t="str">
        <f>IF($C50=0,"",SUMIFS(INPUT_DATA!AV:AV,INPUT_DATA!$A:$A,$C50,INPUT_DATA!$C:$C,"S"))</f>
        <v/>
      </c>
      <c r="G50" s="761" t="str">
        <f>IF($C50=0,"",SUMIFS(INPUT_DATA!AW:AW,INPUT_DATA!$A:$A,$C50,INPUT_DATA!$C:$C,"S"))</f>
        <v/>
      </c>
      <c r="H50" s="763" t="str">
        <f t="shared" si="0"/>
        <v/>
      </c>
      <c r="I50" s="761" t="str">
        <f>IF($C50=0,"",SUMIFS(INPUT_DATA!AY:AY,INPUT_DATA!$A:$A,$C50,INPUT_DATA!$C:$C,"S"))</f>
        <v/>
      </c>
      <c r="J50" s="761" t="str">
        <f>IF($C50=0,"",SUMIFS(INPUT_DATA!AZ:AZ,INPUT_DATA!$A:$A,$C50,INPUT_DATA!$C:$C,"S"))</f>
        <v/>
      </c>
      <c r="K50" s="761" t="str">
        <f>IF($C50=0,"",SUMIFS(INPUT_DATA!BA:BA,INPUT_DATA!$A:$A,$C50,INPUT_DATA!$C:$C,"S"))</f>
        <v/>
      </c>
      <c r="L50" s="761" t="str">
        <f>IF($C50=0,"",SUMIFS(INPUT_DATA!BB:BB,INPUT_DATA!$A:$A,$C50,INPUT_DATA!$C:$C,"S"))</f>
        <v/>
      </c>
      <c r="M50" s="761" t="str">
        <f>IF($C50=0,"",SUMIFS(INPUT_DATA!BC:BC,INPUT_DATA!$A:$A,$C50,INPUT_DATA!$C:$C,"S"))</f>
        <v/>
      </c>
      <c r="N50" s="761" t="str">
        <f>IF($C50=0,"",SUMIFS(INPUT_DATA!BD:BD,INPUT_DATA!$A:$A,$C50,INPUT_DATA!$C:$C,"S"))</f>
        <v/>
      </c>
      <c r="O50" s="761" t="str">
        <f>IF($C50=0,"",SUMIFS(INPUT_DATA!BE:BE,INPUT_DATA!$A:$A,$C50,INPUT_DATA!$C:$C,"S"))</f>
        <v/>
      </c>
      <c r="P50" s="761" t="str">
        <f>IF($C50=0,"",SUMIFS(INPUT_DATA!BF:BF,INPUT_DATA!$A:$A,$C50,INPUT_DATA!$C:$C,"S"))</f>
        <v/>
      </c>
      <c r="Q50" s="767" t="str">
        <f t="shared" si="5"/>
        <v/>
      </c>
      <c r="R50" s="769" t="str">
        <f>IF($C50=0,"",SUMIFS(INPUT_DATA!BH:BH,INPUT_DATA!$A:$A,$C50,INPUT_DATA!$C:$C,"S"))</f>
        <v/>
      </c>
      <c r="S50" s="769" t="str">
        <f>IF($C50=0,"",SUMIFS(INPUT_DATA!BI:BI,INPUT_DATA!$A:$A,$C50,INPUT_DATA!$C:$C,"S"))</f>
        <v/>
      </c>
      <c r="T50" s="767" t="str">
        <f t="shared" si="6"/>
        <v/>
      </c>
      <c r="U50" s="772" t="str">
        <f>IF($C50=0,"",SUMIFS(INPUT_DATA!BL:BL,INPUT_DATA!$A:$A,$C50,INPUT_DATA!$C:$C,"S"))</f>
        <v/>
      </c>
      <c r="V50" s="155" t="str">
        <f t="shared" si="1"/>
        <v/>
      </c>
      <c r="W50" s="149"/>
      <c r="X50" s="749" t="str">
        <f>IF($C50=0,"",SUMIFS(INPUT_DATA!AU:AU,INPUT_DATA!$A:$A,$C50,INPUT_DATA!$C:$C,"D"))</f>
        <v/>
      </c>
      <c r="Y50" s="761" t="str">
        <f>IF($C50=0,"",SUMIFS(INPUT_DATA!AV:AV,INPUT_DATA!$A:$A,$C50,INPUT_DATA!$C:$C,"D"))</f>
        <v/>
      </c>
      <c r="Z50" s="761" t="str">
        <f>IF($C50=0,"",SUMIFS(INPUT_DATA!AW:AW,INPUT_DATA!$A:$A,$C50,INPUT_DATA!$C:$C,"D"))</f>
        <v/>
      </c>
      <c r="AA50" s="762" t="str">
        <f t="shared" si="2"/>
        <v/>
      </c>
      <c r="AB50" s="761" t="str">
        <f>IF($C50=0,"",SUMIFS(INPUT_DATA!AX:AX,INPUT_DATA!$A:$A,$C50,INPUT_DATA!$C:$C,"D"))</f>
        <v/>
      </c>
      <c r="AC50" s="761" t="str">
        <f>IF($C50=0,"",SUMIFS(INPUT_DATA!AY:AY,INPUT_DATA!$A:$A,$C50,INPUT_DATA!$C:$C,"D"))</f>
        <v/>
      </c>
      <c r="AD50" s="761" t="str">
        <f>IF($C50=0,"",SUMIFS(INPUT_DATA!AZ:AZ,INPUT_DATA!$A:$A,$C50,INPUT_DATA!$C:$C,"D"))</f>
        <v/>
      </c>
      <c r="AE50" s="761" t="str">
        <f>IF($C50=0,"",SUMIFS(INPUT_DATA!BA:BA,INPUT_DATA!$A:$A,$C50,INPUT_DATA!$C:$C,"D"))</f>
        <v/>
      </c>
      <c r="AF50" s="761" t="str">
        <f>IF($C50=0,"",SUMIFS(INPUT_DATA!BB:BB,INPUT_DATA!$A:$A,$C50,INPUT_DATA!$C:$C,"D"))</f>
        <v/>
      </c>
      <c r="AG50" s="761" t="str">
        <f>IF($C50=0,"",SUMIFS(INPUT_DATA!BC:BC,INPUT_DATA!$A:$A,$C50,INPUT_DATA!$C:$C,"D"))</f>
        <v/>
      </c>
      <c r="AH50" s="761" t="str">
        <f>IF($C50=0,"",SUMIFS(INPUT_DATA!BD:BD,INPUT_DATA!$A:$A,$C50,INPUT_DATA!$C:$C,"D"))</f>
        <v/>
      </c>
      <c r="AI50" s="761" t="str">
        <f>IF($C50=0,"",SUMIFS(INPUT_DATA!BE:BE,INPUT_DATA!$A:$A,$C50,INPUT_DATA!$C:$C,"D"))</f>
        <v/>
      </c>
      <c r="AJ50" s="314" t="str">
        <f t="shared" si="3"/>
        <v/>
      </c>
      <c r="AK50" s="769" t="str">
        <f>IF($C50=0,"",SUMIFS(INPUT_DATA!BG:BG,INPUT_DATA!$A:$A,$C50,INPUT_DATA!$C:$C,"D"))</f>
        <v/>
      </c>
      <c r="AL50" s="769" t="str">
        <f>IF($C50=0,"",SUMIFS(INPUT_DATA!BH:BH,INPUT_DATA!$A:$A,$C50,INPUT_DATA!$C:$C,"D"))</f>
        <v/>
      </c>
      <c r="AM50" s="769" t="str">
        <f>IF($C50=0,"",SUMIFS(INPUT_DATA!BI:BI,INPUT_DATA!$A:$A,$C50,INPUT_DATA!$C:$C,"D"))</f>
        <v/>
      </c>
      <c r="AN50" s="767" t="str">
        <f t="shared" si="7"/>
        <v/>
      </c>
      <c r="AO50" s="772" t="str">
        <f>IF($C50=0,"",SUMIFS(INPUT_DATA!BK:BK,INPUT_DATA!$A:$A,$C50,INPUT_DATA!$C:$C,"D"))</f>
        <v/>
      </c>
      <c r="AP50" s="354" t="str">
        <f t="shared" si="8"/>
        <v/>
      </c>
      <c r="AQ50" s="149"/>
      <c r="AS50" s="354" t="str">
        <f t="shared" si="9"/>
        <v/>
      </c>
      <c r="AU50" s="378" t="str">
        <f>IF($C50=0,"",'03 - Monthly Asset Follow up'!E54+'03 - Monthly Asset Follow up'!F54-'03 - Monthly Asset Follow up'!U54+'03 - Monthly Asset Follow up'!X54-H50)</f>
        <v/>
      </c>
      <c r="AV50" s="378" t="str">
        <f>IF($C50=0,"",'03 - Monthly Asset Follow up'!BD54+'03 - Monthly Asset Follow up'!BE54-'03 - Monthly Asset Follow up'!BT54+'03 - Monthly Asset Follow up'!BW54-AA50)</f>
        <v/>
      </c>
      <c r="AX50" s="154"/>
    </row>
    <row r="51" spans="2:50" x14ac:dyDescent="0.2">
      <c r="B51" s="753" t="str">
        <f t="shared" si="4"/>
        <v/>
      </c>
      <c r="C51" s="756">
        <f>'03 - Monthly Asset Follow up'!B55</f>
        <v>0</v>
      </c>
      <c r="D51" s="149"/>
      <c r="E51" s="749" t="str">
        <f>IF($C51=0,"",SUMIFS(INPUT_DATA!AU:AU,INPUT_DATA!$A:$A,$C51,INPUT_DATA!$C:$C,"S"))</f>
        <v/>
      </c>
      <c r="F51" s="761" t="str">
        <f>IF($C51=0,"",SUMIFS(INPUT_DATA!AV:AV,INPUT_DATA!$A:$A,$C51,INPUT_DATA!$C:$C,"S"))</f>
        <v/>
      </c>
      <c r="G51" s="761" t="str">
        <f>IF($C51=0,"",SUMIFS(INPUT_DATA!AW:AW,INPUT_DATA!$A:$A,$C51,INPUT_DATA!$C:$C,"S"))</f>
        <v/>
      </c>
      <c r="H51" s="763" t="str">
        <f t="shared" si="0"/>
        <v/>
      </c>
      <c r="I51" s="761" t="str">
        <f>IF($C51=0,"",SUMIFS(INPUT_DATA!AY:AY,INPUT_DATA!$A:$A,$C51,INPUT_DATA!$C:$C,"S"))</f>
        <v/>
      </c>
      <c r="J51" s="761" t="str">
        <f>IF($C51=0,"",SUMIFS(INPUT_DATA!AZ:AZ,INPUT_DATA!$A:$A,$C51,INPUT_DATA!$C:$C,"S"))</f>
        <v/>
      </c>
      <c r="K51" s="761" t="str">
        <f>IF($C51=0,"",SUMIFS(INPUT_DATA!BA:BA,INPUT_DATA!$A:$A,$C51,INPUT_DATA!$C:$C,"S"))</f>
        <v/>
      </c>
      <c r="L51" s="761" t="str">
        <f>IF($C51=0,"",SUMIFS(INPUT_DATA!BB:BB,INPUT_DATA!$A:$A,$C51,INPUT_DATA!$C:$C,"S"))</f>
        <v/>
      </c>
      <c r="M51" s="761" t="str">
        <f>IF($C51=0,"",SUMIFS(INPUT_DATA!BC:BC,INPUT_DATA!$A:$A,$C51,INPUT_DATA!$C:$C,"S"))</f>
        <v/>
      </c>
      <c r="N51" s="761" t="str">
        <f>IF($C51=0,"",SUMIFS(INPUT_DATA!BD:BD,INPUT_DATA!$A:$A,$C51,INPUT_DATA!$C:$C,"S"))</f>
        <v/>
      </c>
      <c r="O51" s="761" t="str">
        <f>IF($C51=0,"",SUMIFS(INPUT_DATA!BE:BE,INPUT_DATA!$A:$A,$C51,INPUT_DATA!$C:$C,"S"))</f>
        <v/>
      </c>
      <c r="P51" s="761" t="str">
        <f>IF($C51=0,"",SUMIFS(INPUT_DATA!BF:BF,INPUT_DATA!$A:$A,$C51,INPUT_DATA!$C:$C,"S"))</f>
        <v/>
      </c>
      <c r="Q51" s="767" t="str">
        <f t="shared" si="5"/>
        <v/>
      </c>
      <c r="R51" s="769" t="str">
        <f>IF($C51=0,"",SUMIFS(INPUT_DATA!BH:BH,INPUT_DATA!$A:$A,$C51,INPUT_DATA!$C:$C,"S"))</f>
        <v/>
      </c>
      <c r="S51" s="769" t="str">
        <f>IF($C51=0,"",SUMIFS(INPUT_DATA!BI:BI,INPUT_DATA!$A:$A,$C51,INPUT_DATA!$C:$C,"S"))</f>
        <v/>
      </c>
      <c r="T51" s="767" t="str">
        <f t="shared" si="6"/>
        <v/>
      </c>
      <c r="U51" s="772" t="str">
        <f>IF($C51=0,"",SUMIFS(INPUT_DATA!BL:BL,INPUT_DATA!$A:$A,$C51,INPUT_DATA!$C:$C,"S"))</f>
        <v/>
      </c>
      <c r="V51" s="155" t="str">
        <f t="shared" si="1"/>
        <v/>
      </c>
      <c r="W51" s="149"/>
      <c r="X51" s="749" t="str">
        <f>IF($C51=0,"",SUMIFS(INPUT_DATA!AU:AU,INPUT_DATA!$A:$A,$C51,INPUT_DATA!$C:$C,"D"))</f>
        <v/>
      </c>
      <c r="Y51" s="761" t="str">
        <f>IF($C51=0,"",SUMIFS(INPUT_DATA!AV:AV,INPUT_DATA!$A:$A,$C51,INPUT_DATA!$C:$C,"D"))</f>
        <v/>
      </c>
      <c r="Z51" s="761" t="str">
        <f>IF($C51=0,"",SUMIFS(INPUT_DATA!AW:AW,INPUT_DATA!$A:$A,$C51,INPUT_DATA!$C:$C,"D"))</f>
        <v/>
      </c>
      <c r="AA51" s="762" t="str">
        <f t="shared" si="2"/>
        <v/>
      </c>
      <c r="AB51" s="761" t="str">
        <f>IF($C51=0,"",SUMIFS(INPUT_DATA!AX:AX,INPUT_DATA!$A:$A,$C51,INPUT_DATA!$C:$C,"D"))</f>
        <v/>
      </c>
      <c r="AC51" s="761" t="str">
        <f>IF($C51=0,"",SUMIFS(INPUT_DATA!AY:AY,INPUT_DATA!$A:$A,$C51,INPUT_DATA!$C:$C,"D"))</f>
        <v/>
      </c>
      <c r="AD51" s="761" t="str">
        <f>IF($C51=0,"",SUMIFS(INPUT_DATA!AZ:AZ,INPUT_DATA!$A:$A,$C51,INPUT_DATA!$C:$C,"D"))</f>
        <v/>
      </c>
      <c r="AE51" s="761" t="str">
        <f>IF($C51=0,"",SUMIFS(INPUT_DATA!BA:BA,INPUT_DATA!$A:$A,$C51,INPUT_DATA!$C:$C,"D"))</f>
        <v/>
      </c>
      <c r="AF51" s="761" t="str">
        <f>IF($C51=0,"",SUMIFS(INPUT_DATA!BB:BB,INPUT_DATA!$A:$A,$C51,INPUT_DATA!$C:$C,"D"))</f>
        <v/>
      </c>
      <c r="AG51" s="761" t="str">
        <f>IF($C51=0,"",SUMIFS(INPUT_DATA!BC:BC,INPUT_DATA!$A:$A,$C51,INPUT_DATA!$C:$C,"D"))</f>
        <v/>
      </c>
      <c r="AH51" s="761" t="str">
        <f>IF($C51=0,"",SUMIFS(INPUT_DATA!BD:BD,INPUT_DATA!$A:$A,$C51,INPUT_DATA!$C:$C,"D"))</f>
        <v/>
      </c>
      <c r="AI51" s="761" t="str">
        <f>IF($C51=0,"",SUMIFS(INPUT_DATA!BE:BE,INPUT_DATA!$A:$A,$C51,INPUT_DATA!$C:$C,"D"))</f>
        <v/>
      </c>
      <c r="AJ51" s="314" t="str">
        <f t="shared" si="3"/>
        <v/>
      </c>
      <c r="AK51" s="769" t="str">
        <f>IF($C51=0,"",SUMIFS(INPUT_DATA!BG:BG,INPUT_DATA!$A:$A,$C51,INPUT_DATA!$C:$C,"D"))</f>
        <v/>
      </c>
      <c r="AL51" s="769" t="str">
        <f>IF($C51=0,"",SUMIFS(INPUT_DATA!BH:BH,INPUT_DATA!$A:$A,$C51,INPUT_DATA!$C:$C,"D"))</f>
        <v/>
      </c>
      <c r="AM51" s="769" t="str">
        <f>IF($C51=0,"",SUMIFS(INPUT_DATA!BI:BI,INPUT_DATA!$A:$A,$C51,INPUT_DATA!$C:$C,"D"))</f>
        <v/>
      </c>
      <c r="AN51" s="767" t="str">
        <f t="shared" si="7"/>
        <v/>
      </c>
      <c r="AO51" s="772" t="str">
        <f>IF($C51=0,"",SUMIFS(INPUT_DATA!BK:BK,INPUT_DATA!$A:$A,$C51,INPUT_DATA!$C:$C,"D"))</f>
        <v/>
      </c>
      <c r="AP51" s="354" t="str">
        <f t="shared" si="8"/>
        <v/>
      </c>
      <c r="AQ51" s="149"/>
      <c r="AS51" s="354" t="str">
        <f t="shared" si="9"/>
        <v/>
      </c>
      <c r="AU51" s="378" t="str">
        <f>IF($C51=0,"",'03 - Monthly Asset Follow up'!E55+'03 - Monthly Asset Follow up'!F55-'03 - Monthly Asset Follow up'!U55+'03 - Monthly Asset Follow up'!X55-H51)</f>
        <v/>
      </c>
      <c r="AV51" s="378" t="str">
        <f>IF($C51=0,"",'03 - Monthly Asset Follow up'!BD55+'03 - Monthly Asset Follow up'!BE55-'03 - Monthly Asset Follow up'!BT55+'03 - Monthly Asset Follow up'!BW55-AA51)</f>
        <v/>
      </c>
      <c r="AX51" s="154"/>
    </row>
    <row r="52" spans="2:50" x14ac:dyDescent="0.2">
      <c r="B52" s="753" t="str">
        <f t="shared" si="4"/>
        <v/>
      </c>
      <c r="C52" s="756">
        <f>'03 - Monthly Asset Follow up'!B56</f>
        <v>0</v>
      </c>
      <c r="D52" s="149"/>
      <c r="E52" s="749" t="str">
        <f>IF($C52=0,"",SUMIFS(INPUT_DATA!AU:AU,INPUT_DATA!$A:$A,$C52,INPUT_DATA!$C:$C,"S"))</f>
        <v/>
      </c>
      <c r="F52" s="761" t="str">
        <f>IF($C52=0,"",SUMIFS(INPUT_DATA!AV:AV,INPUT_DATA!$A:$A,$C52,INPUT_DATA!$C:$C,"S"))</f>
        <v/>
      </c>
      <c r="G52" s="761" t="str">
        <f>IF($C52=0,"",SUMIFS(INPUT_DATA!AW:AW,INPUT_DATA!$A:$A,$C52,INPUT_DATA!$C:$C,"S"))</f>
        <v/>
      </c>
      <c r="H52" s="763" t="str">
        <f t="shared" si="0"/>
        <v/>
      </c>
      <c r="I52" s="761" t="str">
        <f>IF($C52=0,"",SUMIFS(INPUT_DATA!AY:AY,INPUT_DATA!$A:$A,$C52,INPUT_DATA!$C:$C,"S"))</f>
        <v/>
      </c>
      <c r="J52" s="761" t="str">
        <f>IF($C52=0,"",SUMIFS(INPUT_DATA!AZ:AZ,INPUT_DATA!$A:$A,$C52,INPUT_DATA!$C:$C,"S"))</f>
        <v/>
      </c>
      <c r="K52" s="761" t="str">
        <f>IF($C52=0,"",SUMIFS(INPUT_DATA!BA:BA,INPUT_DATA!$A:$A,$C52,INPUT_DATA!$C:$C,"S"))</f>
        <v/>
      </c>
      <c r="L52" s="761" t="str">
        <f>IF($C52=0,"",SUMIFS(INPUT_DATA!BB:BB,INPUT_DATA!$A:$A,$C52,INPUT_DATA!$C:$C,"S"))</f>
        <v/>
      </c>
      <c r="M52" s="761" t="str">
        <f>IF($C52=0,"",SUMIFS(INPUT_DATA!BC:BC,INPUT_DATA!$A:$A,$C52,INPUT_DATA!$C:$C,"S"))</f>
        <v/>
      </c>
      <c r="N52" s="761" t="str">
        <f>IF($C52=0,"",SUMIFS(INPUT_DATA!BD:BD,INPUT_DATA!$A:$A,$C52,INPUT_DATA!$C:$C,"S"))</f>
        <v/>
      </c>
      <c r="O52" s="761" t="str">
        <f>IF($C52=0,"",SUMIFS(INPUT_DATA!BE:BE,INPUT_DATA!$A:$A,$C52,INPUT_DATA!$C:$C,"S"))</f>
        <v/>
      </c>
      <c r="P52" s="761" t="str">
        <f>IF($C52=0,"",SUMIFS(INPUT_DATA!BF:BF,INPUT_DATA!$A:$A,$C52,INPUT_DATA!$C:$C,"S"))</f>
        <v/>
      </c>
      <c r="Q52" s="767" t="str">
        <f t="shared" si="5"/>
        <v/>
      </c>
      <c r="R52" s="769" t="str">
        <f>IF($C52=0,"",SUMIFS(INPUT_DATA!BH:BH,INPUT_DATA!$A:$A,$C52,INPUT_DATA!$C:$C,"S"))</f>
        <v/>
      </c>
      <c r="S52" s="769" t="str">
        <f>IF($C52=0,"",SUMIFS(INPUT_DATA!BI:BI,INPUT_DATA!$A:$A,$C52,INPUT_DATA!$C:$C,"S"))</f>
        <v/>
      </c>
      <c r="T52" s="767" t="str">
        <f t="shared" si="6"/>
        <v/>
      </c>
      <c r="U52" s="772" t="str">
        <f>IF($C52=0,"",SUMIFS(INPUT_DATA!BL:BL,INPUT_DATA!$A:$A,$C52,INPUT_DATA!$C:$C,"S"))</f>
        <v/>
      </c>
      <c r="V52" s="155" t="str">
        <f t="shared" si="1"/>
        <v/>
      </c>
      <c r="W52" s="149"/>
      <c r="X52" s="749" t="str">
        <f>IF($C52=0,"",SUMIFS(INPUT_DATA!AU:AU,INPUT_DATA!$A:$A,$C52,INPUT_DATA!$C:$C,"D"))</f>
        <v/>
      </c>
      <c r="Y52" s="761" t="str">
        <f>IF($C52=0,"",SUMIFS(INPUT_DATA!AV:AV,INPUT_DATA!$A:$A,$C52,INPUT_DATA!$C:$C,"D"))</f>
        <v/>
      </c>
      <c r="Z52" s="761" t="str">
        <f>IF($C52=0,"",SUMIFS(INPUT_DATA!AW:AW,INPUT_DATA!$A:$A,$C52,INPUT_DATA!$C:$C,"D"))</f>
        <v/>
      </c>
      <c r="AA52" s="762" t="str">
        <f t="shared" si="2"/>
        <v/>
      </c>
      <c r="AB52" s="761" t="str">
        <f>IF($C52=0,"",SUMIFS(INPUT_DATA!AX:AX,INPUT_DATA!$A:$A,$C52,INPUT_DATA!$C:$C,"D"))</f>
        <v/>
      </c>
      <c r="AC52" s="761" t="str">
        <f>IF($C52=0,"",SUMIFS(INPUT_DATA!AY:AY,INPUT_DATA!$A:$A,$C52,INPUT_DATA!$C:$C,"D"))</f>
        <v/>
      </c>
      <c r="AD52" s="761" t="str">
        <f>IF($C52=0,"",SUMIFS(INPUT_DATA!AZ:AZ,INPUT_DATA!$A:$A,$C52,INPUT_DATA!$C:$C,"D"))</f>
        <v/>
      </c>
      <c r="AE52" s="761" t="str">
        <f>IF($C52=0,"",SUMIFS(INPUT_DATA!BA:BA,INPUT_DATA!$A:$A,$C52,INPUT_DATA!$C:$C,"D"))</f>
        <v/>
      </c>
      <c r="AF52" s="761" t="str">
        <f>IF($C52=0,"",SUMIFS(INPUT_DATA!BB:BB,INPUT_DATA!$A:$A,$C52,INPUT_DATA!$C:$C,"D"))</f>
        <v/>
      </c>
      <c r="AG52" s="761" t="str">
        <f>IF($C52=0,"",SUMIFS(INPUT_DATA!BC:BC,INPUT_DATA!$A:$A,$C52,INPUT_DATA!$C:$C,"D"))</f>
        <v/>
      </c>
      <c r="AH52" s="761" t="str">
        <f>IF($C52=0,"",SUMIFS(INPUT_DATA!BD:BD,INPUT_DATA!$A:$A,$C52,INPUT_DATA!$C:$C,"D"))</f>
        <v/>
      </c>
      <c r="AI52" s="761" t="str">
        <f>IF($C52=0,"",SUMIFS(INPUT_DATA!BE:BE,INPUT_DATA!$A:$A,$C52,INPUT_DATA!$C:$C,"D"))</f>
        <v/>
      </c>
      <c r="AJ52" s="314" t="str">
        <f t="shared" si="3"/>
        <v/>
      </c>
      <c r="AK52" s="769" t="str">
        <f>IF($C52=0,"",SUMIFS(INPUT_DATA!BG:BG,INPUT_DATA!$A:$A,$C52,INPUT_DATA!$C:$C,"D"))</f>
        <v/>
      </c>
      <c r="AL52" s="769" t="str">
        <f>IF($C52=0,"",SUMIFS(INPUT_DATA!BH:BH,INPUT_DATA!$A:$A,$C52,INPUT_DATA!$C:$C,"D"))</f>
        <v/>
      </c>
      <c r="AM52" s="769" t="str">
        <f>IF($C52=0,"",SUMIFS(INPUT_DATA!BI:BI,INPUT_DATA!$A:$A,$C52,INPUT_DATA!$C:$C,"D"))</f>
        <v/>
      </c>
      <c r="AN52" s="767" t="str">
        <f t="shared" si="7"/>
        <v/>
      </c>
      <c r="AO52" s="772" t="str">
        <f>IF($C52=0,"",SUMIFS(INPUT_DATA!BK:BK,INPUT_DATA!$A:$A,$C52,INPUT_DATA!$C:$C,"D"))</f>
        <v/>
      </c>
      <c r="AP52" s="354" t="str">
        <f t="shared" si="8"/>
        <v/>
      </c>
      <c r="AQ52" s="149"/>
      <c r="AS52" s="354" t="str">
        <f t="shared" si="9"/>
        <v/>
      </c>
      <c r="AU52" s="378" t="str">
        <f>IF($C52=0,"",'03 - Monthly Asset Follow up'!E56+'03 - Monthly Asset Follow up'!F56-'03 - Monthly Asset Follow up'!U56+'03 - Monthly Asset Follow up'!X56-H52)</f>
        <v/>
      </c>
      <c r="AV52" s="378" t="str">
        <f>IF($C52=0,"",'03 - Monthly Asset Follow up'!BD56+'03 - Monthly Asset Follow up'!BE56-'03 - Monthly Asset Follow up'!BT56+'03 - Monthly Asset Follow up'!BW56-AA52)</f>
        <v/>
      </c>
      <c r="AX52" s="154"/>
    </row>
    <row r="53" spans="2:50" x14ac:dyDescent="0.2">
      <c r="B53" s="753" t="str">
        <f t="shared" si="4"/>
        <v/>
      </c>
      <c r="C53" s="756">
        <f>'03 - Monthly Asset Follow up'!B57</f>
        <v>0</v>
      </c>
      <c r="D53" s="149"/>
      <c r="E53" s="749" t="str">
        <f>IF($C53=0,"",SUMIFS(INPUT_DATA!AU:AU,INPUT_DATA!$A:$A,$C53,INPUT_DATA!$C:$C,"S"))</f>
        <v/>
      </c>
      <c r="F53" s="761" t="str">
        <f>IF($C53=0,"",SUMIFS(INPUT_DATA!AV:AV,INPUT_DATA!$A:$A,$C53,INPUT_DATA!$C:$C,"S"))</f>
        <v/>
      </c>
      <c r="G53" s="761" t="str">
        <f>IF($C53=0,"",SUMIFS(INPUT_DATA!AW:AW,INPUT_DATA!$A:$A,$C53,INPUT_DATA!$C:$C,"S"))</f>
        <v/>
      </c>
      <c r="H53" s="763" t="str">
        <f t="shared" si="0"/>
        <v/>
      </c>
      <c r="I53" s="761" t="str">
        <f>IF($C53=0,"",SUMIFS(INPUT_DATA!AY:AY,INPUT_DATA!$A:$A,$C53,INPUT_DATA!$C:$C,"S"))</f>
        <v/>
      </c>
      <c r="J53" s="761" t="str">
        <f>IF($C53=0,"",SUMIFS(INPUT_DATA!AZ:AZ,INPUT_DATA!$A:$A,$C53,INPUT_DATA!$C:$C,"S"))</f>
        <v/>
      </c>
      <c r="K53" s="761" t="str">
        <f>IF($C53=0,"",SUMIFS(INPUT_DATA!BA:BA,INPUT_DATA!$A:$A,$C53,INPUT_DATA!$C:$C,"S"))</f>
        <v/>
      </c>
      <c r="L53" s="761" t="str">
        <f>IF($C53=0,"",SUMIFS(INPUT_DATA!BB:BB,INPUT_DATA!$A:$A,$C53,INPUT_DATA!$C:$C,"S"))</f>
        <v/>
      </c>
      <c r="M53" s="761" t="str">
        <f>IF($C53=0,"",SUMIFS(INPUT_DATA!BC:BC,INPUT_DATA!$A:$A,$C53,INPUT_DATA!$C:$C,"S"))</f>
        <v/>
      </c>
      <c r="N53" s="761" t="str">
        <f>IF($C53=0,"",SUMIFS(INPUT_DATA!BD:BD,INPUT_DATA!$A:$A,$C53,INPUT_DATA!$C:$C,"S"))</f>
        <v/>
      </c>
      <c r="O53" s="761" t="str">
        <f>IF($C53=0,"",SUMIFS(INPUT_DATA!BE:BE,INPUT_DATA!$A:$A,$C53,INPUT_DATA!$C:$C,"S"))</f>
        <v/>
      </c>
      <c r="P53" s="761" t="str">
        <f>IF($C53=0,"",SUMIFS(INPUT_DATA!BF:BF,INPUT_DATA!$A:$A,$C53,INPUT_DATA!$C:$C,"S"))</f>
        <v/>
      </c>
      <c r="Q53" s="767" t="str">
        <f t="shared" si="5"/>
        <v/>
      </c>
      <c r="R53" s="769" t="str">
        <f>IF($C53=0,"",SUMIFS(INPUT_DATA!BH:BH,INPUT_DATA!$A:$A,$C53,INPUT_DATA!$C:$C,"S"))</f>
        <v/>
      </c>
      <c r="S53" s="769" t="str">
        <f>IF($C53=0,"",SUMIFS(INPUT_DATA!BI:BI,INPUT_DATA!$A:$A,$C53,INPUT_DATA!$C:$C,"S"))</f>
        <v/>
      </c>
      <c r="T53" s="767" t="str">
        <f t="shared" si="6"/>
        <v/>
      </c>
      <c r="U53" s="772" t="str">
        <f>IF($C53=0,"",SUMIFS(INPUT_DATA!BL:BL,INPUT_DATA!$A:$A,$C53,INPUT_DATA!$C:$C,"S"))</f>
        <v/>
      </c>
      <c r="V53" s="155" t="str">
        <f t="shared" si="1"/>
        <v/>
      </c>
      <c r="W53" s="149"/>
      <c r="X53" s="749" t="str">
        <f>IF($C53=0,"",SUMIFS(INPUT_DATA!AU:AU,INPUT_DATA!$A:$A,$C53,INPUT_DATA!$C:$C,"D"))</f>
        <v/>
      </c>
      <c r="Y53" s="761" t="str">
        <f>IF($C53=0,"",SUMIFS(INPUT_DATA!AV:AV,INPUT_DATA!$A:$A,$C53,INPUT_DATA!$C:$C,"D"))</f>
        <v/>
      </c>
      <c r="Z53" s="761" t="str">
        <f>IF($C53=0,"",SUMIFS(INPUT_DATA!AW:AW,INPUT_DATA!$A:$A,$C53,INPUT_DATA!$C:$C,"D"))</f>
        <v/>
      </c>
      <c r="AA53" s="762" t="str">
        <f t="shared" si="2"/>
        <v/>
      </c>
      <c r="AB53" s="761" t="str">
        <f>IF($C53=0,"",SUMIFS(INPUT_DATA!AX:AX,INPUT_DATA!$A:$A,$C53,INPUT_DATA!$C:$C,"D"))</f>
        <v/>
      </c>
      <c r="AC53" s="761" t="str">
        <f>IF($C53=0,"",SUMIFS(INPUT_DATA!AY:AY,INPUT_DATA!$A:$A,$C53,INPUT_DATA!$C:$C,"D"))</f>
        <v/>
      </c>
      <c r="AD53" s="761" t="str">
        <f>IF($C53=0,"",SUMIFS(INPUT_DATA!AZ:AZ,INPUT_DATA!$A:$A,$C53,INPUT_DATA!$C:$C,"D"))</f>
        <v/>
      </c>
      <c r="AE53" s="761" t="str">
        <f>IF($C53=0,"",SUMIFS(INPUT_DATA!BA:BA,INPUT_DATA!$A:$A,$C53,INPUT_DATA!$C:$C,"D"))</f>
        <v/>
      </c>
      <c r="AF53" s="761" t="str">
        <f>IF($C53=0,"",SUMIFS(INPUT_DATA!BB:BB,INPUT_DATA!$A:$A,$C53,INPUT_DATA!$C:$C,"D"))</f>
        <v/>
      </c>
      <c r="AG53" s="761" t="str">
        <f>IF($C53=0,"",SUMIFS(INPUT_DATA!BC:BC,INPUT_DATA!$A:$A,$C53,INPUT_DATA!$C:$C,"D"))</f>
        <v/>
      </c>
      <c r="AH53" s="761" t="str">
        <f>IF($C53=0,"",SUMIFS(INPUT_DATA!BD:BD,INPUT_DATA!$A:$A,$C53,INPUT_DATA!$C:$C,"D"))</f>
        <v/>
      </c>
      <c r="AI53" s="761" t="str">
        <f>IF($C53=0,"",SUMIFS(INPUT_DATA!BE:BE,INPUT_DATA!$A:$A,$C53,INPUT_DATA!$C:$C,"D"))</f>
        <v/>
      </c>
      <c r="AJ53" s="314" t="str">
        <f t="shared" si="3"/>
        <v/>
      </c>
      <c r="AK53" s="769" t="str">
        <f>IF($C53=0,"",SUMIFS(INPUT_DATA!BG:BG,INPUT_DATA!$A:$A,$C53,INPUT_DATA!$C:$C,"D"))</f>
        <v/>
      </c>
      <c r="AL53" s="769" t="str">
        <f>IF($C53=0,"",SUMIFS(INPUT_DATA!BH:BH,INPUT_DATA!$A:$A,$C53,INPUT_DATA!$C:$C,"D"))</f>
        <v/>
      </c>
      <c r="AM53" s="769" t="str">
        <f>IF($C53=0,"",SUMIFS(INPUT_DATA!BI:BI,INPUT_DATA!$A:$A,$C53,INPUT_DATA!$C:$C,"D"))</f>
        <v/>
      </c>
      <c r="AN53" s="767" t="str">
        <f t="shared" si="7"/>
        <v/>
      </c>
      <c r="AO53" s="772" t="str">
        <f>IF($C53=0,"",SUMIFS(INPUT_DATA!BK:BK,INPUT_DATA!$A:$A,$C53,INPUT_DATA!$C:$C,"D"))</f>
        <v/>
      </c>
      <c r="AP53" s="354" t="str">
        <f t="shared" si="8"/>
        <v/>
      </c>
      <c r="AQ53" s="149"/>
      <c r="AS53" s="354" t="str">
        <f t="shared" si="9"/>
        <v/>
      </c>
      <c r="AU53" s="378" t="str">
        <f>IF($C53=0,"",'03 - Monthly Asset Follow up'!E57+'03 - Monthly Asset Follow up'!F57-'03 - Monthly Asset Follow up'!U57+'03 - Monthly Asset Follow up'!X57-H53)</f>
        <v/>
      </c>
      <c r="AV53" s="378" t="str">
        <f>IF($C53=0,"",'03 - Monthly Asset Follow up'!BD57+'03 - Monthly Asset Follow up'!BE57-'03 - Monthly Asset Follow up'!BT57+'03 - Monthly Asset Follow up'!BW57-AA53)</f>
        <v/>
      </c>
      <c r="AX53" s="154"/>
    </row>
    <row r="54" spans="2:50" x14ac:dyDescent="0.2">
      <c r="B54" s="753" t="str">
        <f t="shared" si="4"/>
        <v/>
      </c>
      <c r="C54" s="756">
        <f>'03 - Monthly Asset Follow up'!B58</f>
        <v>0</v>
      </c>
      <c r="D54" s="149"/>
      <c r="E54" s="749" t="str">
        <f>IF($C54=0,"",SUMIFS(INPUT_DATA!AU:AU,INPUT_DATA!$A:$A,$C54,INPUT_DATA!$C:$C,"S"))</f>
        <v/>
      </c>
      <c r="F54" s="761" t="str">
        <f>IF($C54=0,"",SUMIFS(INPUT_DATA!AV:AV,INPUT_DATA!$A:$A,$C54,INPUT_DATA!$C:$C,"S"))</f>
        <v/>
      </c>
      <c r="G54" s="761" t="str">
        <f>IF($C54=0,"",SUMIFS(INPUT_DATA!AW:AW,INPUT_DATA!$A:$A,$C54,INPUT_DATA!$C:$C,"S"))</f>
        <v/>
      </c>
      <c r="H54" s="763" t="str">
        <f t="shared" si="0"/>
        <v/>
      </c>
      <c r="I54" s="761" t="str">
        <f>IF($C54=0,"",SUMIFS(INPUT_DATA!AY:AY,INPUT_DATA!$A:$A,$C54,INPUT_DATA!$C:$C,"S"))</f>
        <v/>
      </c>
      <c r="J54" s="761" t="str">
        <f>IF($C54=0,"",SUMIFS(INPUT_DATA!AZ:AZ,INPUT_DATA!$A:$A,$C54,INPUT_DATA!$C:$C,"S"))</f>
        <v/>
      </c>
      <c r="K54" s="761" t="str">
        <f>IF($C54=0,"",SUMIFS(INPUT_DATA!BA:BA,INPUT_DATA!$A:$A,$C54,INPUT_DATA!$C:$C,"S"))</f>
        <v/>
      </c>
      <c r="L54" s="761" t="str">
        <f>IF($C54=0,"",SUMIFS(INPUT_DATA!BB:BB,INPUT_DATA!$A:$A,$C54,INPUT_DATA!$C:$C,"S"))</f>
        <v/>
      </c>
      <c r="M54" s="761" t="str">
        <f>IF($C54=0,"",SUMIFS(INPUT_DATA!BC:BC,INPUT_DATA!$A:$A,$C54,INPUT_DATA!$C:$C,"S"))</f>
        <v/>
      </c>
      <c r="N54" s="761" t="str">
        <f>IF($C54=0,"",SUMIFS(INPUT_DATA!BD:BD,INPUT_DATA!$A:$A,$C54,INPUT_DATA!$C:$C,"S"))</f>
        <v/>
      </c>
      <c r="O54" s="761" t="str">
        <f>IF($C54=0,"",SUMIFS(INPUT_DATA!BE:BE,INPUT_DATA!$A:$A,$C54,INPUT_DATA!$C:$C,"S"))</f>
        <v/>
      </c>
      <c r="P54" s="761" t="str">
        <f>IF($C54=0,"",SUMIFS(INPUT_DATA!BF:BF,INPUT_DATA!$A:$A,$C54,INPUT_DATA!$C:$C,"S"))</f>
        <v/>
      </c>
      <c r="Q54" s="767" t="str">
        <f t="shared" si="5"/>
        <v/>
      </c>
      <c r="R54" s="769" t="str">
        <f>IF($C54=0,"",SUMIFS(INPUT_DATA!BH:BH,INPUT_DATA!$A:$A,$C54,INPUT_DATA!$C:$C,"S"))</f>
        <v/>
      </c>
      <c r="S54" s="769" t="str">
        <f>IF($C54=0,"",SUMIFS(INPUT_DATA!BI:BI,INPUT_DATA!$A:$A,$C54,INPUT_DATA!$C:$C,"S"))</f>
        <v/>
      </c>
      <c r="T54" s="767" t="str">
        <f t="shared" si="6"/>
        <v/>
      </c>
      <c r="U54" s="772" t="str">
        <f>IF($C54=0,"",SUMIFS(INPUT_DATA!BL:BL,INPUT_DATA!$A:$A,$C54,INPUT_DATA!$C:$C,"S"))</f>
        <v/>
      </c>
      <c r="V54" s="155" t="str">
        <f t="shared" si="1"/>
        <v/>
      </c>
      <c r="W54" s="149"/>
      <c r="X54" s="749" t="str">
        <f>IF($C54=0,"",SUMIFS(INPUT_DATA!AU:AU,INPUT_DATA!$A:$A,$C54,INPUT_DATA!$C:$C,"D"))</f>
        <v/>
      </c>
      <c r="Y54" s="761" t="str">
        <f>IF($C54=0,"",SUMIFS(INPUT_DATA!AV:AV,INPUT_DATA!$A:$A,$C54,INPUT_DATA!$C:$C,"D"))</f>
        <v/>
      </c>
      <c r="Z54" s="761" t="str">
        <f>IF($C54=0,"",SUMIFS(INPUT_DATA!AW:AW,INPUT_DATA!$A:$A,$C54,INPUT_DATA!$C:$C,"D"))</f>
        <v/>
      </c>
      <c r="AA54" s="762" t="str">
        <f t="shared" si="2"/>
        <v/>
      </c>
      <c r="AB54" s="761" t="str">
        <f>IF($C54=0,"",SUMIFS(INPUT_DATA!AX:AX,INPUT_DATA!$A:$A,$C54,INPUT_DATA!$C:$C,"D"))</f>
        <v/>
      </c>
      <c r="AC54" s="761" t="str">
        <f>IF($C54=0,"",SUMIFS(INPUT_DATA!AY:AY,INPUT_DATA!$A:$A,$C54,INPUT_DATA!$C:$C,"D"))</f>
        <v/>
      </c>
      <c r="AD54" s="761" t="str">
        <f>IF($C54=0,"",SUMIFS(INPUT_DATA!AZ:AZ,INPUT_DATA!$A:$A,$C54,INPUT_DATA!$C:$C,"D"))</f>
        <v/>
      </c>
      <c r="AE54" s="761" t="str">
        <f>IF($C54=0,"",SUMIFS(INPUT_DATA!BA:BA,INPUT_DATA!$A:$A,$C54,INPUT_DATA!$C:$C,"D"))</f>
        <v/>
      </c>
      <c r="AF54" s="761" t="str">
        <f>IF($C54=0,"",SUMIFS(INPUT_DATA!BB:BB,INPUT_DATA!$A:$A,$C54,INPUT_DATA!$C:$C,"D"))</f>
        <v/>
      </c>
      <c r="AG54" s="761" t="str">
        <f>IF($C54=0,"",SUMIFS(INPUT_DATA!BC:BC,INPUT_DATA!$A:$A,$C54,INPUT_DATA!$C:$C,"D"))</f>
        <v/>
      </c>
      <c r="AH54" s="761" t="str">
        <f>IF($C54=0,"",SUMIFS(INPUT_DATA!BD:BD,INPUT_DATA!$A:$A,$C54,INPUT_DATA!$C:$C,"D"))</f>
        <v/>
      </c>
      <c r="AI54" s="761" t="str">
        <f>IF($C54=0,"",SUMIFS(INPUT_DATA!BE:BE,INPUT_DATA!$A:$A,$C54,INPUT_DATA!$C:$C,"D"))</f>
        <v/>
      </c>
      <c r="AJ54" s="314" t="str">
        <f t="shared" si="3"/>
        <v/>
      </c>
      <c r="AK54" s="769" t="str">
        <f>IF($C54=0,"",SUMIFS(INPUT_DATA!BG:BG,INPUT_DATA!$A:$A,$C54,INPUT_DATA!$C:$C,"D"))</f>
        <v/>
      </c>
      <c r="AL54" s="769" t="str">
        <f>IF($C54=0,"",SUMIFS(INPUT_DATA!BH:BH,INPUT_DATA!$A:$A,$C54,INPUT_DATA!$C:$C,"D"))</f>
        <v/>
      </c>
      <c r="AM54" s="769" t="str">
        <f>IF($C54=0,"",SUMIFS(INPUT_DATA!BI:BI,INPUT_DATA!$A:$A,$C54,INPUT_DATA!$C:$C,"D"))</f>
        <v/>
      </c>
      <c r="AN54" s="767" t="str">
        <f t="shared" si="7"/>
        <v/>
      </c>
      <c r="AO54" s="772" t="str">
        <f>IF($C54=0,"",SUMIFS(INPUT_DATA!BK:BK,INPUT_DATA!$A:$A,$C54,INPUT_DATA!$C:$C,"D"))</f>
        <v/>
      </c>
      <c r="AP54" s="354" t="str">
        <f t="shared" si="8"/>
        <v/>
      </c>
      <c r="AQ54" s="149"/>
      <c r="AS54" s="354" t="str">
        <f t="shared" si="9"/>
        <v/>
      </c>
      <c r="AU54" s="378" t="str">
        <f>IF($C54=0,"",'03 - Monthly Asset Follow up'!E58+'03 - Monthly Asset Follow up'!F58-'03 - Monthly Asset Follow up'!U58+'03 - Monthly Asset Follow up'!X58-H54)</f>
        <v/>
      </c>
      <c r="AV54" s="378" t="str">
        <f>IF($C54=0,"",'03 - Monthly Asset Follow up'!BD58+'03 - Monthly Asset Follow up'!BE58-'03 - Monthly Asset Follow up'!BT58+'03 - Monthly Asset Follow up'!BW58-AA54)</f>
        <v/>
      </c>
      <c r="AX54" s="154"/>
    </row>
    <row r="55" spans="2:50" x14ac:dyDescent="0.2">
      <c r="B55" s="753" t="str">
        <f t="shared" si="4"/>
        <v/>
      </c>
      <c r="C55" s="756">
        <f>'03 - Monthly Asset Follow up'!B59</f>
        <v>0</v>
      </c>
      <c r="D55" s="149"/>
      <c r="E55" s="749" t="str">
        <f>IF($C55=0,"",SUMIFS(INPUT_DATA!AU:AU,INPUT_DATA!$A:$A,$C55,INPUT_DATA!$C:$C,"S"))</f>
        <v/>
      </c>
      <c r="F55" s="761" t="str">
        <f>IF($C55=0,"",SUMIFS(INPUT_DATA!AV:AV,INPUT_DATA!$A:$A,$C55,INPUT_DATA!$C:$C,"S"))</f>
        <v/>
      </c>
      <c r="G55" s="761" t="str">
        <f>IF($C55=0,"",SUMIFS(INPUT_DATA!AW:AW,INPUT_DATA!$A:$A,$C55,INPUT_DATA!$C:$C,"S"))</f>
        <v/>
      </c>
      <c r="H55" s="763" t="str">
        <f t="shared" si="0"/>
        <v/>
      </c>
      <c r="I55" s="761" t="str">
        <f>IF($C55=0,"",SUMIFS(INPUT_DATA!AY:AY,INPUT_DATA!$A:$A,$C55,INPUT_DATA!$C:$C,"S"))</f>
        <v/>
      </c>
      <c r="J55" s="761" t="str">
        <f>IF($C55=0,"",SUMIFS(INPUT_DATA!AZ:AZ,INPUT_DATA!$A:$A,$C55,INPUT_DATA!$C:$C,"S"))</f>
        <v/>
      </c>
      <c r="K55" s="761" t="str">
        <f>IF($C55=0,"",SUMIFS(INPUT_DATA!BA:BA,INPUT_DATA!$A:$A,$C55,INPUT_DATA!$C:$C,"S"))</f>
        <v/>
      </c>
      <c r="L55" s="761" t="str">
        <f>IF($C55=0,"",SUMIFS(INPUT_DATA!BB:BB,INPUT_DATA!$A:$A,$C55,INPUT_DATA!$C:$C,"S"))</f>
        <v/>
      </c>
      <c r="M55" s="761" t="str">
        <f>IF($C55=0,"",SUMIFS(INPUT_DATA!BC:BC,INPUT_DATA!$A:$A,$C55,INPUT_DATA!$C:$C,"S"))</f>
        <v/>
      </c>
      <c r="N55" s="761" t="str">
        <f>IF($C55=0,"",SUMIFS(INPUT_DATA!BD:BD,INPUT_DATA!$A:$A,$C55,INPUT_DATA!$C:$C,"S"))</f>
        <v/>
      </c>
      <c r="O55" s="761" t="str">
        <f>IF($C55=0,"",SUMIFS(INPUT_DATA!BE:BE,INPUT_DATA!$A:$A,$C55,INPUT_DATA!$C:$C,"S"))</f>
        <v/>
      </c>
      <c r="P55" s="761" t="str">
        <f>IF($C55=0,"",SUMIFS(INPUT_DATA!BF:BF,INPUT_DATA!$A:$A,$C55,INPUT_DATA!$C:$C,"S"))</f>
        <v/>
      </c>
      <c r="Q55" s="767" t="str">
        <f t="shared" si="5"/>
        <v/>
      </c>
      <c r="R55" s="769" t="str">
        <f>IF($C55=0,"",SUMIFS(INPUT_DATA!BH:BH,INPUT_DATA!$A:$A,$C55,INPUT_DATA!$C:$C,"S"))</f>
        <v/>
      </c>
      <c r="S55" s="769" t="str">
        <f>IF($C55=0,"",SUMIFS(INPUT_DATA!BI:BI,INPUT_DATA!$A:$A,$C55,INPUT_DATA!$C:$C,"S"))</f>
        <v/>
      </c>
      <c r="T55" s="767" t="str">
        <f t="shared" si="6"/>
        <v/>
      </c>
      <c r="U55" s="772" t="str">
        <f>IF($C55=0,"",SUMIFS(INPUT_DATA!BL:BL,INPUT_DATA!$A:$A,$C55,INPUT_DATA!$C:$C,"S"))</f>
        <v/>
      </c>
      <c r="V55" s="155" t="str">
        <f t="shared" si="1"/>
        <v/>
      </c>
      <c r="W55" s="149"/>
      <c r="X55" s="749" t="str">
        <f>IF($C55=0,"",SUMIFS(INPUT_DATA!AU:AU,INPUT_DATA!$A:$A,$C55,INPUT_DATA!$C:$C,"D"))</f>
        <v/>
      </c>
      <c r="Y55" s="761" t="str">
        <f>IF($C55=0,"",SUMIFS(INPUT_DATA!AV:AV,INPUT_DATA!$A:$A,$C55,INPUT_DATA!$C:$C,"D"))</f>
        <v/>
      </c>
      <c r="Z55" s="761" t="str">
        <f>IF($C55=0,"",SUMIFS(INPUT_DATA!AW:AW,INPUT_DATA!$A:$A,$C55,INPUT_DATA!$C:$C,"D"))</f>
        <v/>
      </c>
      <c r="AA55" s="762" t="str">
        <f t="shared" si="2"/>
        <v/>
      </c>
      <c r="AB55" s="761" t="str">
        <f>IF($C55=0,"",SUMIFS(INPUT_DATA!AX:AX,INPUT_DATA!$A:$A,$C55,INPUT_DATA!$C:$C,"D"))</f>
        <v/>
      </c>
      <c r="AC55" s="761" t="str">
        <f>IF($C55=0,"",SUMIFS(INPUT_DATA!AY:AY,INPUT_DATA!$A:$A,$C55,INPUT_DATA!$C:$C,"D"))</f>
        <v/>
      </c>
      <c r="AD55" s="761" t="str">
        <f>IF($C55=0,"",SUMIFS(INPUT_DATA!AZ:AZ,INPUT_DATA!$A:$A,$C55,INPUT_DATA!$C:$C,"D"))</f>
        <v/>
      </c>
      <c r="AE55" s="761" t="str">
        <f>IF($C55=0,"",SUMIFS(INPUT_DATA!BA:BA,INPUT_DATA!$A:$A,$C55,INPUT_DATA!$C:$C,"D"))</f>
        <v/>
      </c>
      <c r="AF55" s="761" t="str">
        <f>IF($C55=0,"",SUMIFS(INPUT_DATA!BB:BB,INPUT_DATA!$A:$A,$C55,INPUT_DATA!$C:$C,"D"))</f>
        <v/>
      </c>
      <c r="AG55" s="761" t="str">
        <f>IF($C55=0,"",SUMIFS(INPUT_DATA!BC:BC,INPUT_DATA!$A:$A,$C55,INPUT_DATA!$C:$C,"D"))</f>
        <v/>
      </c>
      <c r="AH55" s="761" t="str">
        <f>IF($C55=0,"",SUMIFS(INPUT_DATA!BD:BD,INPUT_DATA!$A:$A,$C55,INPUT_DATA!$C:$C,"D"))</f>
        <v/>
      </c>
      <c r="AI55" s="761" t="str">
        <f>IF($C55=0,"",SUMIFS(INPUT_DATA!BE:BE,INPUT_DATA!$A:$A,$C55,INPUT_DATA!$C:$C,"D"))</f>
        <v/>
      </c>
      <c r="AJ55" s="314" t="str">
        <f t="shared" si="3"/>
        <v/>
      </c>
      <c r="AK55" s="769" t="str">
        <f>IF($C55=0,"",SUMIFS(INPUT_DATA!BG:BG,INPUT_DATA!$A:$A,$C55,INPUT_DATA!$C:$C,"D"))</f>
        <v/>
      </c>
      <c r="AL55" s="769" t="str">
        <f>IF($C55=0,"",SUMIFS(INPUT_DATA!BH:BH,INPUT_DATA!$A:$A,$C55,INPUT_DATA!$C:$C,"D"))</f>
        <v/>
      </c>
      <c r="AM55" s="769" t="str">
        <f>IF($C55=0,"",SUMIFS(INPUT_DATA!BI:BI,INPUT_DATA!$A:$A,$C55,INPUT_DATA!$C:$C,"D"))</f>
        <v/>
      </c>
      <c r="AN55" s="767" t="str">
        <f t="shared" si="7"/>
        <v/>
      </c>
      <c r="AO55" s="772" t="str">
        <f>IF($C55=0,"",SUMIFS(INPUT_DATA!BK:BK,INPUT_DATA!$A:$A,$C55,INPUT_DATA!$C:$C,"D"))</f>
        <v/>
      </c>
      <c r="AP55" s="354" t="str">
        <f t="shared" si="8"/>
        <v/>
      </c>
      <c r="AQ55" s="149"/>
      <c r="AS55" s="354" t="str">
        <f t="shared" si="9"/>
        <v/>
      </c>
      <c r="AU55" s="378" t="str">
        <f>IF($C55=0,"",'03 - Monthly Asset Follow up'!E59+'03 - Monthly Asset Follow up'!F59-'03 - Monthly Asset Follow up'!U59+'03 - Monthly Asset Follow up'!X59-H55)</f>
        <v/>
      </c>
      <c r="AV55" s="378" t="str">
        <f>IF($C55=0,"",'03 - Monthly Asset Follow up'!BD59+'03 - Monthly Asset Follow up'!BE59-'03 - Monthly Asset Follow up'!BT59+'03 - Monthly Asset Follow up'!BW59-AA55)</f>
        <v/>
      </c>
      <c r="AX55" s="154"/>
    </row>
    <row r="56" spans="2:50" x14ac:dyDescent="0.2">
      <c r="B56" s="753" t="str">
        <f t="shared" si="4"/>
        <v/>
      </c>
      <c r="C56" s="756">
        <f>'03 - Monthly Asset Follow up'!B60</f>
        <v>0</v>
      </c>
      <c r="D56" s="149"/>
      <c r="E56" s="749" t="str">
        <f>IF($C56=0,"",SUMIFS(INPUT_DATA!AU:AU,INPUT_DATA!$A:$A,$C56,INPUT_DATA!$C:$C,"S"))</f>
        <v/>
      </c>
      <c r="F56" s="761" t="str">
        <f>IF($C56=0,"",SUMIFS(INPUT_DATA!AV:AV,INPUT_DATA!$A:$A,$C56,INPUT_DATA!$C:$C,"S"))</f>
        <v/>
      </c>
      <c r="G56" s="761" t="str">
        <f>IF($C56=0,"",SUMIFS(INPUT_DATA!AW:AW,INPUT_DATA!$A:$A,$C56,INPUT_DATA!$C:$C,"S"))</f>
        <v/>
      </c>
      <c r="H56" s="763" t="str">
        <f t="shared" si="0"/>
        <v/>
      </c>
      <c r="I56" s="761" t="str">
        <f>IF($C56=0,"",SUMIFS(INPUT_DATA!AY:AY,INPUT_DATA!$A:$A,$C56,INPUT_DATA!$C:$C,"S"))</f>
        <v/>
      </c>
      <c r="J56" s="761" t="str">
        <f>IF($C56=0,"",SUMIFS(INPUT_DATA!AZ:AZ,INPUT_DATA!$A:$A,$C56,INPUT_DATA!$C:$C,"S"))</f>
        <v/>
      </c>
      <c r="K56" s="761" t="str">
        <f>IF($C56=0,"",SUMIFS(INPUT_DATA!BA:BA,INPUT_DATA!$A:$A,$C56,INPUT_DATA!$C:$C,"S"))</f>
        <v/>
      </c>
      <c r="L56" s="761" t="str">
        <f>IF($C56=0,"",SUMIFS(INPUT_DATA!BB:BB,INPUT_DATA!$A:$A,$C56,INPUT_DATA!$C:$C,"S"))</f>
        <v/>
      </c>
      <c r="M56" s="761" t="str">
        <f>IF($C56=0,"",SUMIFS(INPUT_DATA!BC:BC,INPUT_DATA!$A:$A,$C56,INPUT_DATA!$C:$C,"S"))</f>
        <v/>
      </c>
      <c r="N56" s="761" t="str">
        <f>IF($C56=0,"",SUMIFS(INPUT_DATA!BD:BD,INPUT_DATA!$A:$A,$C56,INPUT_DATA!$C:$C,"S"))</f>
        <v/>
      </c>
      <c r="O56" s="761" t="str">
        <f>IF($C56=0,"",SUMIFS(INPUT_DATA!BE:BE,INPUT_DATA!$A:$A,$C56,INPUT_DATA!$C:$C,"S"))</f>
        <v/>
      </c>
      <c r="P56" s="761" t="str">
        <f>IF($C56=0,"",SUMIFS(INPUT_DATA!BF:BF,INPUT_DATA!$A:$A,$C56,INPUT_DATA!$C:$C,"S"))</f>
        <v/>
      </c>
      <c r="Q56" s="767" t="str">
        <f t="shared" si="5"/>
        <v/>
      </c>
      <c r="R56" s="769" t="str">
        <f>IF($C56=0,"",SUMIFS(INPUT_DATA!BH:BH,INPUT_DATA!$A:$A,$C56,INPUT_DATA!$C:$C,"S"))</f>
        <v/>
      </c>
      <c r="S56" s="769" t="str">
        <f>IF($C56=0,"",SUMIFS(INPUT_DATA!BI:BI,INPUT_DATA!$A:$A,$C56,INPUT_DATA!$C:$C,"S"))</f>
        <v/>
      </c>
      <c r="T56" s="767" t="str">
        <f t="shared" si="6"/>
        <v/>
      </c>
      <c r="U56" s="772" t="str">
        <f>IF($C56=0,"",SUMIFS(INPUT_DATA!BL:BL,INPUT_DATA!$A:$A,$C56,INPUT_DATA!$C:$C,"S"))</f>
        <v/>
      </c>
      <c r="V56" s="155" t="str">
        <f t="shared" si="1"/>
        <v/>
      </c>
      <c r="W56" s="149"/>
      <c r="X56" s="749" t="str">
        <f>IF($C56=0,"",SUMIFS(INPUT_DATA!AU:AU,INPUT_DATA!$A:$A,$C56,INPUT_DATA!$C:$C,"D"))</f>
        <v/>
      </c>
      <c r="Y56" s="761" t="str">
        <f>IF($C56=0,"",SUMIFS(INPUT_DATA!AV:AV,INPUT_DATA!$A:$A,$C56,INPUT_DATA!$C:$C,"D"))</f>
        <v/>
      </c>
      <c r="Z56" s="761" t="str">
        <f>IF($C56=0,"",SUMIFS(INPUT_DATA!AW:AW,INPUT_DATA!$A:$A,$C56,INPUT_DATA!$C:$C,"D"))</f>
        <v/>
      </c>
      <c r="AA56" s="762" t="str">
        <f t="shared" si="2"/>
        <v/>
      </c>
      <c r="AB56" s="761" t="str">
        <f>IF($C56=0,"",SUMIFS(INPUT_DATA!AX:AX,INPUT_DATA!$A:$A,$C56,INPUT_DATA!$C:$C,"D"))</f>
        <v/>
      </c>
      <c r="AC56" s="761" t="str">
        <f>IF($C56=0,"",SUMIFS(INPUT_DATA!AY:AY,INPUT_DATA!$A:$A,$C56,INPUT_DATA!$C:$C,"D"))</f>
        <v/>
      </c>
      <c r="AD56" s="761" t="str">
        <f>IF($C56=0,"",SUMIFS(INPUT_DATA!AZ:AZ,INPUT_DATA!$A:$A,$C56,INPUT_DATA!$C:$C,"D"))</f>
        <v/>
      </c>
      <c r="AE56" s="761" t="str">
        <f>IF($C56=0,"",SUMIFS(INPUT_DATA!BA:BA,INPUT_DATA!$A:$A,$C56,INPUT_DATA!$C:$C,"D"))</f>
        <v/>
      </c>
      <c r="AF56" s="761" t="str">
        <f>IF($C56=0,"",SUMIFS(INPUT_DATA!BB:BB,INPUT_DATA!$A:$A,$C56,INPUT_DATA!$C:$C,"D"))</f>
        <v/>
      </c>
      <c r="AG56" s="761" t="str">
        <f>IF($C56=0,"",SUMIFS(INPUT_DATA!BC:BC,INPUT_DATA!$A:$A,$C56,INPUT_DATA!$C:$C,"D"))</f>
        <v/>
      </c>
      <c r="AH56" s="761" t="str">
        <f>IF($C56=0,"",SUMIFS(INPUT_DATA!BD:BD,INPUT_DATA!$A:$A,$C56,INPUT_DATA!$C:$C,"D"))</f>
        <v/>
      </c>
      <c r="AI56" s="761" t="str">
        <f>IF($C56=0,"",SUMIFS(INPUT_DATA!BE:BE,INPUT_DATA!$A:$A,$C56,INPUT_DATA!$C:$C,"D"))</f>
        <v/>
      </c>
      <c r="AJ56" s="314" t="str">
        <f t="shared" si="3"/>
        <v/>
      </c>
      <c r="AK56" s="769" t="str">
        <f>IF($C56=0,"",SUMIFS(INPUT_DATA!BG:BG,INPUT_DATA!$A:$A,$C56,INPUT_DATA!$C:$C,"D"))</f>
        <v/>
      </c>
      <c r="AL56" s="769" t="str">
        <f>IF($C56=0,"",SUMIFS(INPUT_DATA!BH:BH,INPUT_DATA!$A:$A,$C56,INPUT_DATA!$C:$C,"D"))</f>
        <v/>
      </c>
      <c r="AM56" s="769" t="str">
        <f>IF($C56=0,"",SUMIFS(INPUT_DATA!BI:BI,INPUT_DATA!$A:$A,$C56,INPUT_DATA!$C:$C,"D"))</f>
        <v/>
      </c>
      <c r="AN56" s="767" t="str">
        <f t="shared" si="7"/>
        <v/>
      </c>
      <c r="AO56" s="772" t="str">
        <f>IF($C56=0,"",SUMIFS(INPUT_DATA!BK:BK,INPUT_DATA!$A:$A,$C56,INPUT_DATA!$C:$C,"D"))</f>
        <v/>
      </c>
      <c r="AP56" s="354" t="str">
        <f t="shared" si="8"/>
        <v/>
      </c>
      <c r="AQ56" s="149"/>
      <c r="AS56" s="354" t="str">
        <f t="shared" si="9"/>
        <v/>
      </c>
      <c r="AU56" s="378" t="str">
        <f>IF($C56=0,"",'03 - Monthly Asset Follow up'!E60+'03 - Monthly Asset Follow up'!F60-'03 - Monthly Asset Follow up'!U60+'03 - Monthly Asset Follow up'!X60-H56)</f>
        <v/>
      </c>
      <c r="AV56" s="378" t="str">
        <f>IF($C56=0,"",'03 - Monthly Asset Follow up'!BD60+'03 - Monthly Asset Follow up'!BE60-'03 - Monthly Asset Follow up'!BT60+'03 - Monthly Asset Follow up'!BW60-AA56)</f>
        <v/>
      </c>
      <c r="AX56" s="154"/>
    </row>
    <row r="57" spans="2:50" x14ac:dyDescent="0.2">
      <c r="B57" s="753" t="str">
        <f t="shared" si="4"/>
        <v/>
      </c>
      <c r="C57" s="756">
        <f>'03 - Monthly Asset Follow up'!B61</f>
        <v>0</v>
      </c>
      <c r="D57" s="149"/>
      <c r="E57" s="749" t="str">
        <f>IF($C57=0,"",SUMIFS(INPUT_DATA!AU:AU,INPUT_DATA!$A:$A,$C57,INPUT_DATA!$C:$C,"S"))</f>
        <v/>
      </c>
      <c r="F57" s="761" t="str">
        <f>IF($C57=0,"",SUMIFS(INPUT_DATA!AV:AV,INPUT_DATA!$A:$A,$C57,INPUT_DATA!$C:$C,"S"))</f>
        <v/>
      </c>
      <c r="G57" s="761" t="str">
        <f>IF($C57=0,"",SUMIFS(INPUT_DATA!AW:AW,INPUT_DATA!$A:$A,$C57,INPUT_DATA!$C:$C,"S"))</f>
        <v/>
      </c>
      <c r="H57" s="763" t="str">
        <f t="shared" si="0"/>
        <v/>
      </c>
      <c r="I57" s="761" t="str">
        <f>IF($C57=0,"",SUMIFS(INPUT_DATA!AY:AY,INPUT_DATA!$A:$A,$C57,INPUT_DATA!$C:$C,"S"))</f>
        <v/>
      </c>
      <c r="J57" s="761" t="str">
        <f>IF($C57=0,"",SUMIFS(INPUT_DATA!AZ:AZ,INPUT_DATA!$A:$A,$C57,INPUT_DATA!$C:$C,"S"))</f>
        <v/>
      </c>
      <c r="K57" s="761" t="str">
        <f>IF($C57=0,"",SUMIFS(INPUT_DATA!BA:BA,INPUT_DATA!$A:$A,$C57,INPUT_DATA!$C:$C,"S"))</f>
        <v/>
      </c>
      <c r="L57" s="761" t="str">
        <f>IF($C57=0,"",SUMIFS(INPUT_DATA!BB:BB,INPUT_DATA!$A:$A,$C57,INPUT_DATA!$C:$C,"S"))</f>
        <v/>
      </c>
      <c r="M57" s="761" t="str">
        <f>IF($C57=0,"",SUMIFS(INPUT_DATA!BC:BC,INPUT_DATA!$A:$A,$C57,INPUT_DATA!$C:$C,"S"))</f>
        <v/>
      </c>
      <c r="N57" s="761" t="str">
        <f>IF($C57=0,"",SUMIFS(INPUT_DATA!BD:BD,INPUT_DATA!$A:$A,$C57,INPUT_DATA!$C:$C,"S"))</f>
        <v/>
      </c>
      <c r="O57" s="761" t="str">
        <f>IF($C57=0,"",SUMIFS(INPUT_DATA!BE:BE,INPUT_DATA!$A:$A,$C57,INPUT_DATA!$C:$C,"S"))</f>
        <v/>
      </c>
      <c r="P57" s="761" t="str">
        <f>IF($C57=0,"",SUMIFS(INPUT_DATA!BF:BF,INPUT_DATA!$A:$A,$C57,INPUT_DATA!$C:$C,"S"))</f>
        <v/>
      </c>
      <c r="Q57" s="767" t="str">
        <f t="shared" si="5"/>
        <v/>
      </c>
      <c r="R57" s="769" t="str">
        <f>IF($C57=0,"",SUMIFS(INPUT_DATA!BH:BH,INPUT_DATA!$A:$A,$C57,INPUT_DATA!$C:$C,"S"))</f>
        <v/>
      </c>
      <c r="S57" s="769" t="str">
        <f>IF($C57=0,"",SUMIFS(INPUT_DATA!BI:BI,INPUT_DATA!$A:$A,$C57,INPUT_DATA!$C:$C,"S"))</f>
        <v/>
      </c>
      <c r="T57" s="767" t="str">
        <f t="shared" si="6"/>
        <v/>
      </c>
      <c r="U57" s="772" t="str">
        <f>IF($C57=0,"",SUMIFS(INPUT_DATA!BL:BL,INPUT_DATA!$A:$A,$C57,INPUT_DATA!$C:$C,"S"))</f>
        <v/>
      </c>
      <c r="V57" s="155" t="str">
        <f t="shared" si="1"/>
        <v/>
      </c>
      <c r="W57" s="149"/>
      <c r="X57" s="749" t="str">
        <f>IF($C57=0,"",SUMIFS(INPUT_DATA!AU:AU,INPUT_DATA!$A:$A,$C57,INPUT_DATA!$C:$C,"D"))</f>
        <v/>
      </c>
      <c r="Y57" s="761" t="str">
        <f>IF($C57=0,"",SUMIFS(INPUT_DATA!AV:AV,INPUT_DATA!$A:$A,$C57,INPUT_DATA!$C:$C,"D"))</f>
        <v/>
      </c>
      <c r="Z57" s="761" t="str">
        <f>IF($C57=0,"",SUMIFS(INPUT_DATA!AW:AW,INPUT_DATA!$A:$A,$C57,INPUT_DATA!$C:$C,"D"))</f>
        <v/>
      </c>
      <c r="AA57" s="762" t="str">
        <f t="shared" si="2"/>
        <v/>
      </c>
      <c r="AB57" s="761" t="str">
        <f>IF($C57=0,"",SUMIFS(INPUT_DATA!AX:AX,INPUT_DATA!$A:$A,$C57,INPUT_DATA!$C:$C,"D"))</f>
        <v/>
      </c>
      <c r="AC57" s="761" t="str">
        <f>IF($C57=0,"",SUMIFS(INPUT_DATA!AY:AY,INPUT_DATA!$A:$A,$C57,INPUT_DATA!$C:$C,"D"))</f>
        <v/>
      </c>
      <c r="AD57" s="761" t="str">
        <f>IF($C57=0,"",SUMIFS(INPUT_DATA!AZ:AZ,INPUT_DATA!$A:$A,$C57,INPUT_DATA!$C:$C,"D"))</f>
        <v/>
      </c>
      <c r="AE57" s="761" t="str">
        <f>IF($C57=0,"",SUMIFS(INPUT_DATA!BA:BA,INPUT_DATA!$A:$A,$C57,INPUT_DATA!$C:$C,"D"))</f>
        <v/>
      </c>
      <c r="AF57" s="761" t="str">
        <f>IF($C57=0,"",SUMIFS(INPUT_DATA!BB:BB,INPUT_DATA!$A:$A,$C57,INPUT_DATA!$C:$C,"D"))</f>
        <v/>
      </c>
      <c r="AG57" s="761" t="str">
        <f>IF($C57=0,"",SUMIFS(INPUT_DATA!BC:BC,INPUT_DATA!$A:$A,$C57,INPUT_DATA!$C:$C,"D"))</f>
        <v/>
      </c>
      <c r="AH57" s="761" t="str">
        <f>IF($C57=0,"",SUMIFS(INPUT_DATA!BD:BD,INPUT_DATA!$A:$A,$C57,INPUT_DATA!$C:$C,"D"))</f>
        <v/>
      </c>
      <c r="AI57" s="761" t="str">
        <f>IF($C57=0,"",SUMIFS(INPUT_DATA!BE:BE,INPUT_DATA!$A:$A,$C57,INPUT_DATA!$C:$C,"D"))</f>
        <v/>
      </c>
      <c r="AJ57" s="314" t="str">
        <f t="shared" si="3"/>
        <v/>
      </c>
      <c r="AK57" s="769" t="str">
        <f>IF($C57=0,"",SUMIFS(INPUT_DATA!BG:BG,INPUT_DATA!$A:$A,$C57,INPUT_DATA!$C:$C,"D"))</f>
        <v/>
      </c>
      <c r="AL57" s="769" t="str">
        <f>IF($C57=0,"",SUMIFS(INPUT_DATA!BH:BH,INPUT_DATA!$A:$A,$C57,INPUT_DATA!$C:$C,"D"))</f>
        <v/>
      </c>
      <c r="AM57" s="769" t="str">
        <f>IF($C57=0,"",SUMIFS(INPUT_DATA!BI:BI,INPUT_DATA!$A:$A,$C57,INPUT_DATA!$C:$C,"D"))</f>
        <v/>
      </c>
      <c r="AN57" s="767" t="str">
        <f t="shared" si="7"/>
        <v/>
      </c>
      <c r="AO57" s="772" t="str">
        <f>IF($C57=0,"",SUMIFS(INPUT_DATA!BK:BK,INPUT_DATA!$A:$A,$C57,INPUT_DATA!$C:$C,"D"))</f>
        <v/>
      </c>
      <c r="AP57" s="354" t="str">
        <f t="shared" si="8"/>
        <v/>
      </c>
      <c r="AQ57" s="149"/>
      <c r="AS57" s="354" t="str">
        <f t="shared" si="9"/>
        <v/>
      </c>
      <c r="AU57" s="378" t="str">
        <f>IF($C57=0,"",'03 - Monthly Asset Follow up'!E61+'03 - Monthly Asset Follow up'!F61-'03 - Monthly Asset Follow up'!U61+'03 - Monthly Asset Follow up'!X61-H57)</f>
        <v/>
      </c>
      <c r="AV57" s="378" t="str">
        <f>IF($C57=0,"",'03 - Monthly Asset Follow up'!BD61+'03 - Monthly Asset Follow up'!BE61-'03 - Monthly Asset Follow up'!BT61+'03 - Monthly Asset Follow up'!BW61-AA57)</f>
        <v/>
      </c>
      <c r="AX57" s="154"/>
    </row>
    <row r="58" spans="2:50" x14ac:dyDescent="0.2">
      <c r="B58" s="753" t="str">
        <f t="shared" si="4"/>
        <v/>
      </c>
      <c r="C58" s="756">
        <f>'03 - Monthly Asset Follow up'!B62</f>
        <v>0</v>
      </c>
      <c r="D58" s="149"/>
      <c r="E58" s="749" t="str">
        <f>IF($C58=0,"",SUMIFS(INPUT_DATA!AU:AU,INPUT_DATA!$A:$A,$C58,INPUT_DATA!$C:$C,"S"))</f>
        <v/>
      </c>
      <c r="F58" s="761" t="str">
        <f>IF($C58=0,"",SUMIFS(INPUT_DATA!AV:AV,INPUT_DATA!$A:$A,$C58,INPUT_DATA!$C:$C,"S"))</f>
        <v/>
      </c>
      <c r="G58" s="761" t="str">
        <f>IF($C58=0,"",SUMIFS(INPUT_DATA!AW:AW,INPUT_DATA!$A:$A,$C58,INPUT_DATA!$C:$C,"S"))</f>
        <v/>
      </c>
      <c r="H58" s="763" t="str">
        <f t="shared" si="0"/>
        <v/>
      </c>
      <c r="I58" s="761" t="str">
        <f>IF($C58=0,"",SUMIFS(INPUT_DATA!AY:AY,INPUT_DATA!$A:$A,$C58,INPUT_DATA!$C:$C,"S"))</f>
        <v/>
      </c>
      <c r="J58" s="761" t="str">
        <f>IF($C58=0,"",SUMIFS(INPUT_DATA!AZ:AZ,INPUT_DATA!$A:$A,$C58,INPUT_DATA!$C:$C,"S"))</f>
        <v/>
      </c>
      <c r="K58" s="761" t="str">
        <f>IF($C58=0,"",SUMIFS(INPUT_DATA!BA:BA,INPUT_DATA!$A:$A,$C58,INPUT_DATA!$C:$C,"S"))</f>
        <v/>
      </c>
      <c r="L58" s="761" t="str">
        <f>IF($C58=0,"",SUMIFS(INPUT_DATA!BB:BB,INPUT_DATA!$A:$A,$C58,INPUT_DATA!$C:$C,"S"))</f>
        <v/>
      </c>
      <c r="M58" s="761" t="str">
        <f>IF($C58=0,"",SUMIFS(INPUT_DATA!BC:BC,INPUT_DATA!$A:$A,$C58,INPUT_DATA!$C:$C,"S"))</f>
        <v/>
      </c>
      <c r="N58" s="761" t="str">
        <f>IF($C58=0,"",SUMIFS(INPUT_DATA!BD:BD,INPUT_DATA!$A:$A,$C58,INPUT_DATA!$C:$C,"S"))</f>
        <v/>
      </c>
      <c r="O58" s="761" t="str">
        <f>IF($C58=0,"",SUMIFS(INPUT_DATA!BE:BE,INPUT_DATA!$A:$A,$C58,INPUT_DATA!$C:$C,"S"))</f>
        <v/>
      </c>
      <c r="P58" s="761" t="str">
        <f>IF($C58=0,"",SUMIFS(INPUT_DATA!BF:BF,INPUT_DATA!$A:$A,$C58,INPUT_DATA!$C:$C,"S"))</f>
        <v/>
      </c>
      <c r="Q58" s="767" t="str">
        <f t="shared" si="5"/>
        <v/>
      </c>
      <c r="R58" s="769" t="str">
        <f>IF($C58=0,"",SUMIFS(INPUT_DATA!BH:BH,INPUT_DATA!$A:$A,$C58,INPUT_DATA!$C:$C,"S"))</f>
        <v/>
      </c>
      <c r="S58" s="769" t="str">
        <f>IF($C58=0,"",SUMIFS(INPUT_DATA!BI:BI,INPUT_DATA!$A:$A,$C58,INPUT_DATA!$C:$C,"S"))</f>
        <v/>
      </c>
      <c r="T58" s="767" t="str">
        <f t="shared" si="6"/>
        <v/>
      </c>
      <c r="U58" s="772" t="str">
        <f>IF($C58=0,"",SUMIFS(INPUT_DATA!BL:BL,INPUT_DATA!$A:$A,$C58,INPUT_DATA!$C:$C,"S"))</f>
        <v/>
      </c>
      <c r="V58" s="155" t="str">
        <f t="shared" si="1"/>
        <v/>
      </c>
      <c r="W58" s="149"/>
      <c r="X58" s="749" t="str">
        <f>IF($C58=0,"",SUMIFS(INPUT_DATA!AU:AU,INPUT_DATA!$A:$A,$C58,INPUT_DATA!$C:$C,"D"))</f>
        <v/>
      </c>
      <c r="Y58" s="761" t="str">
        <f>IF($C58=0,"",SUMIFS(INPUT_DATA!AV:AV,INPUT_DATA!$A:$A,$C58,INPUT_DATA!$C:$C,"D"))</f>
        <v/>
      </c>
      <c r="Z58" s="761" t="str">
        <f>IF($C58=0,"",SUMIFS(INPUT_DATA!AW:AW,INPUT_DATA!$A:$A,$C58,INPUT_DATA!$C:$C,"D"))</f>
        <v/>
      </c>
      <c r="AA58" s="762" t="str">
        <f t="shared" si="2"/>
        <v/>
      </c>
      <c r="AB58" s="761" t="str">
        <f>IF($C58=0,"",SUMIFS(INPUT_DATA!AX:AX,INPUT_DATA!$A:$A,$C58,INPUT_DATA!$C:$C,"D"))</f>
        <v/>
      </c>
      <c r="AC58" s="761" t="str">
        <f>IF($C58=0,"",SUMIFS(INPUT_DATA!AY:AY,INPUT_DATA!$A:$A,$C58,INPUT_DATA!$C:$C,"D"))</f>
        <v/>
      </c>
      <c r="AD58" s="761" t="str">
        <f>IF($C58=0,"",SUMIFS(INPUT_DATA!AZ:AZ,INPUT_DATA!$A:$A,$C58,INPUT_DATA!$C:$C,"D"))</f>
        <v/>
      </c>
      <c r="AE58" s="761" t="str">
        <f>IF($C58=0,"",SUMIFS(INPUT_DATA!BA:BA,INPUT_DATA!$A:$A,$C58,INPUT_DATA!$C:$C,"D"))</f>
        <v/>
      </c>
      <c r="AF58" s="761" t="str">
        <f>IF($C58=0,"",SUMIFS(INPUT_DATA!BB:BB,INPUT_DATA!$A:$A,$C58,INPUT_DATA!$C:$C,"D"))</f>
        <v/>
      </c>
      <c r="AG58" s="761" t="str">
        <f>IF($C58=0,"",SUMIFS(INPUT_DATA!BC:BC,INPUT_DATA!$A:$A,$C58,INPUT_DATA!$C:$C,"D"))</f>
        <v/>
      </c>
      <c r="AH58" s="761" t="str">
        <f>IF($C58=0,"",SUMIFS(INPUT_DATA!BD:BD,INPUT_DATA!$A:$A,$C58,INPUT_DATA!$C:$C,"D"))</f>
        <v/>
      </c>
      <c r="AI58" s="761" t="str">
        <f>IF($C58=0,"",SUMIFS(INPUT_DATA!BE:BE,INPUT_DATA!$A:$A,$C58,INPUT_DATA!$C:$C,"D"))</f>
        <v/>
      </c>
      <c r="AJ58" s="314" t="str">
        <f t="shared" si="3"/>
        <v/>
      </c>
      <c r="AK58" s="769" t="str">
        <f>IF($C58=0,"",SUMIFS(INPUT_DATA!BG:BG,INPUT_DATA!$A:$A,$C58,INPUT_DATA!$C:$C,"D"))</f>
        <v/>
      </c>
      <c r="AL58" s="769" t="str">
        <f>IF($C58=0,"",SUMIFS(INPUT_DATA!BH:BH,INPUT_DATA!$A:$A,$C58,INPUT_DATA!$C:$C,"D"))</f>
        <v/>
      </c>
      <c r="AM58" s="769" t="str">
        <f>IF($C58=0,"",SUMIFS(INPUT_DATA!BI:BI,INPUT_DATA!$A:$A,$C58,INPUT_DATA!$C:$C,"D"))</f>
        <v/>
      </c>
      <c r="AN58" s="767" t="str">
        <f t="shared" si="7"/>
        <v/>
      </c>
      <c r="AO58" s="772" t="str">
        <f>IF($C58=0,"",SUMIFS(INPUT_DATA!BK:BK,INPUT_DATA!$A:$A,$C58,INPUT_DATA!$C:$C,"D"))</f>
        <v/>
      </c>
      <c r="AP58" s="354" t="str">
        <f t="shared" si="8"/>
        <v/>
      </c>
      <c r="AQ58" s="149"/>
      <c r="AS58" s="354" t="str">
        <f t="shared" si="9"/>
        <v/>
      </c>
      <c r="AU58" s="378" t="str">
        <f>IF($C58=0,"",'03 - Monthly Asset Follow up'!E62+'03 - Monthly Asset Follow up'!F62-'03 - Monthly Asset Follow up'!U62+'03 - Monthly Asset Follow up'!X62-H58)</f>
        <v/>
      </c>
      <c r="AV58" s="378" t="str">
        <f>IF($C58=0,"",'03 - Monthly Asset Follow up'!BD62+'03 - Monthly Asset Follow up'!BE62-'03 - Monthly Asset Follow up'!BT62+'03 - Monthly Asset Follow up'!BW62-AA58)</f>
        <v/>
      </c>
      <c r="AX58" s="154"/>
    </row>
    <row r="59" spans="2:50" x14ac:dyDescent="0.2">
      <c r="B59" s="753" t="str">
        <f t="shared" si="4"/>
        <v/>
      </c>
      <c r="C59" s="756">
        <f>'03 - Monthly Asset Follow up'!B63</f>
        <v>0</v>
      </c>
      <c r="D59" s="149"/>
      <c r="E59" s="749" t="str">
        <f>IF($C59=0,"",SUMIFS(INPUT_DATA!AU:AU,INPUT_DATA!$A:$A,$C59,INPUT_DATA!$C:$C,"S"))</f>
        <v/>
      </c>
      <c r="F59" s="761" t="str">
        <f>IF($C59=0,"",SUMIFS(INPUT_DATA!AV:AV,INPUT_DATA!$A:$A,$C59,INPUT_DATA!$C:$C,"S"))</f>
        <v/>
      </c>
      <c r="G59" s="761" t="str">
        <f>IF($C59=0,"",SUMIFS(INPUT_DATA!AW:AW,INPUT_DATA!$A:$A,$C59,INPUT_DATA!$C:$C,"S"))</f>
        <v/>
      </c>
      <c r="H59" s="763" t="str">
        <f t="shared" si="0"/>
        <v/>
      </c>
      <c r="I59" s="761" t="str">
        <f>IF($C59=0,"",SUMIFS(INPUT_DATA!AY:AY,INPUT_DATA!$A:$A,$C59,INPUT_DATA!$C:$C,"S"))</f>
        <v/>
      </c>
      <c r="J59" s="761" t="str">
        <f>IF($C59=0,"",SUMIFS(INPUT_DATA!AZ:AZ,INPUT_DATA!$A:$A,$C59,INPUT_DATA!$C:$C,"S"))</f>
        <v/>
      </c>
      <c r="K59" s="761" t="str">
        <f>IF($C59=0,"",SUMIFS(INPUT_DATA!BA:BA,INPUT_DATA!$A:$A,$C59,INPUT_DATA!$C:$C,"S"))</f>
        <v/>
      </c>
      <c r="L59" s="761" t="str">
        <f>IF($C59=0,"",SUMIFS(INPUT_DATA!BB:BB,INPUT_DATA!$A:$A,$C59,INPUT_DATA!$C:$C,"S"))</f>
        <v/>
      </c>
      <c r="M59" s="761" t="str">
        <f>IF($C59=0,"",SUMIFS(INPUT_DATA!BC:BC,INPUT_DATA!$A:$A,$C59,INPUT_DATA!$C:$C,"S"))</f>
        <v/>
      </c>
      <c r="N59" s="761" t="str">
        <f>IF($C59=0,"",SUMIFS(INPUT_DATA!BD:BD,INPUT_DATA!$A:$A,$C59,INPUT_DATA!$C:$C,"S"))</f>
        <v/>
      </c>
      <c r="O59" s="761" t="str">
        <f>IF($C59=0,"",SUMIFS(INPUT_DATA!BE:BE,INPUT_DATA!$A:$A,$C59,INPUT_DATA!$C:$C,"S"))</f>
        <v/>
      </c>
      <c r="P59" s="761" t="str">
        <f>IF($C59=0,"",SUMIFS(INPUT_DATA!BF:BF,INPUT_DATA!$A:$A,$C59,INPUT_DATA!$C:$C,"S"))</f>
        <v/>
      </c>
      <c r="Q59" s="767" t="str">
        <f t="shared" si="5"/>
        <v/>
      </c>
      <c r="R59" s="769" t="str">
        <f>IF($C59=0,"",SUMIFS(INPUT_DATA!BH:BH,INPUT_DATA!$A:$A,$C59,INPUT_DATA!$C:$C,"S"))</f>
        <v/>
      </c>
      <c r="S59" s="769" t="str">
        <f>IF($C59=0,"",SUMIFS(INPUT_DATA!BI:BI,INPUT_DATA!$A:$A,$C59,INPUT_DATA!$C:$C,"S"))</f>
        <v/>
      </c>
      <c r="T59" s="767" t="str">
        <f t="shared" si="6"/>
        <v/>
      </c>
      <c r="U59" s="772" t="str">
        <f>IF($C59=0,"",SUMIFS(INPUT_DATA!BL:BL,INPUT_DATA!$A:$A,$C59,INPUT_DATA!$C:$C,"S"))</f>
        <v/>
      </c>
      <c r="V59" s="155" t="str">
        <f t="shared" si="1"/>
        <v/>
      </c>
      <c r="W59" s="149"/>
      <c r="X59" s="749" t="str">
        <f>IF($C59=0,"",SUMIFS(INPUT_DATA!AU:AU,INPUT_DATA!$A:$A,$C59,INPUT_DATA!$C:$C,"D"))</f>
        <v/>
      </c>
      <c r="Y59" s="761" t="str">
        <f>IF($C59=0,"",SUMIFS(INPUT_DATA!AV:AV,INPUT_DATA!$A:$A,$C59,INPUT_DATA!$C:$C,"D"))</f>
        <v/>
      </c>
      <c r="Z59" s="761" t="str">
        <f>IF($C59=0,"",SUMIFS(INPUT_DATA!AW:AW,INPUT_DATA!$A:$A,$C59,INPUT_DATA!$C:$C,"D"))</f>
        <v/>
      </c>
      <c r="AA59" s="762" t="str">
        <f t="shared" si="2"/>
        <v/>
      </c>
      <c r="AB59" s="761" t="str">
        <f>IF($C59=0,"",SUMIFS(INPUT_DATA!AX:AX,INPUT_DATA!$A:$A,$C59,INPUT_DATA!$C:$C,"D"))</f>
        <v/>
      </c>
      <c r="AC59" s="761" t="str">
        <f>IF($C59=0,"",SUMIFS(INPUT_DATA!AY:AY,INPUT_DATA!$A:$A,$C59,INPUT_DATA!$C:$C,"D"))</f>
        <v/>
      </c>
      <c r="AD59" s="761" t="str">
        <f>IF($C59=0,"",SUMIFS(INPUT_DATA!AZ:AZ,INPUT_DATA!$A:$A,$C59,INPUT_DATA!$C:$C,"D"))</f>
        <v/>
      </c>
      <c r="AE59" s="761" t="str">
        <f>IF($C59=0,"",SUMIFS(INPUT_DATA!BA:BA,INPUT_DATA!$A:$A,$C59,INPUT_DATA!$C:$C,"D"))</f>
        <v/>
      </c>
      <c r="AF59" s="761" t="str">
        <f>IF($C59=0,"",SUMIFS(INPUT_DATA!BB:BB,INPUT_DATA!$A:$A,$C59,INPUT_DATA!$C:$C,"D"))</f>
        <v/>
      </c>
      <c r="AG59" s="761" t="str">
        <f>IF($C59=0,"",SUMIFS(INPUT_DATA!BC:BC,INPUT_DATA!$A:$A,$C59,INPUT_DATA!$C:$C,"D"))</f>
        <v/>
      </c>
      <c r="AH59" s="761" t="str">
        <f>IF($C59=0,"",SUMIFS(INPUT_DATA!BD:BD,INPUT_DATA!$A:$A,$C59,INPUT_DATA!$C:$C,"D"))</f>
        <v/>
      </c>
      <c r="AI59" s="761" t="str">
        <f>IF($C59=0,"",SUMIFS(INPUT_DATA!BE:BE,INPUT_DATA!$A:$A,$C59,INPUT_DATA!$C:$C,"D"))</f>
        <v/>
      </c>
      <c r="AJ59" s="314" t="str">
        <f t="shared" si="3"/>
        <v/>
      </c>
      <c r="AK59" s="769" t="str">
        <f>IF($C59=0,"",SUMIFS(INPUT_DATA!BG:BG,INPUT_DATA!$A:$A,$C59,INPUT_DATA!$C:$C,"D"))</f>
        <v/>
      </c>
      <c r="AL59" s="769" t="str">
        <f>IF($C59=0,"",SUMIFS(INPUT_DATA!BH:BH,INPUT_DATA!$A:$A,$C59,INPUT_DATA!$C:$C,"D"))</f>
        <v/>
      </c>
      <c r="AM59" s="769" t="str">
        <f>IF($C59=0,"",SUMIFS(INPUT_DATA!BI:BI,INPUT_DATA!$A:$A,$C59,INPUT_DATA!$C:$C,"D"))</f>
        <v/>
      </c>
      <c r="AN59" s="767" t="str">
        <f t="shared" si="7"/>
        <v/>
      </c>
      <c r="AO59" s="772" t="str">
        <f>IF($C59=0,"",SUMIFS(INPUT_DATA!BK:BK,INPUT_DATA!$A:$A,$C59,INPUT_DATA!$C:$C,"D"))</f>
        <v/>
      </c>
      <c r="AP59" s="354" t="str">
        <f t="shared" si="8"/>
        <v/>
      </c>
      <c r="AQ59" s="149"/>
      <c r="AS59" s="354" t="str">
        <f t="shared" si="9"/>
        <v/>
      </c>
      <c r="AU59" s="378" t="str">
        <f>IF($C59=0,"",'03 - Monthly Asset Follow up'!E63+'03 - Monthly Asset Follow up'!F63-'03 - Monthly Asset Follow up'!U63+'03 - Monthly Asset Follow up'!X63-H59)</f>
        <v/>
      </c>
      <c r="AV59" s="378" t="str">
        <f>IF($C59=0,"",'03 - Monthly Asset Follow up'!BD63+'03 - Monthly Asset Follow up'!BE63-'03 - Monthly Asset Follow up'!BT63+'03 - Monthly Asset Follow up'!BW63-AA59)</f>
        <v/>
      </c>
      <c r="AX59" s="154"/>
    </row>
    <row r="60" spans="2:50" x14ac:dyDescent="0.2">
      <c r="B60" s="753" t="str">
        <f t="shared" si="4"/>
        <v/>
      </c>
      <c r="C60" s="756">
        <f>'03 - Monthly Asset Follow up'!B64</f>
        <v>0</v>
      </c>
      <c r="D60" s="149"/>
      <c r="E60" s="749" t="str">
        <f>IF($C60=0,"",SUMIFS(INPUT_DATA!AU:AU,INPUT_DATA!$A:$A,$C60,INPUT_DATA!$C:$C,"S"))</f>
        <v/>
      </c>
      <c r="F60" s="761" t="str">
        <f>IF($C60=0,"",SUMIFS(INPUT_DATA!AV:AV,INPUT_DATA!$A:$A,$C60,INPUT_DATA!$C:$C,"S"))</f>
        <v/>
      </c>
      <c r="G60" s="761" t="str">
        <f>IF($C60=0,"",SUMIFS(INPUT_DATA!AW:AW,INPUT_DATA!$A:$A,$C60,INPUT_DATA!$C:$C,"S"))</f>
        <v/>
      </c>
      <c r="H60" s="763" t="str">
        <f t="shared" si="0"/>
        <v/>
      </c>
      <c r="I60" s="761" t="str">
        <f>IF($C60=0,"",SUMIFS(INPUT_DATA!AY:AY,INPUT_DATA!$A:$A,$C60,INPUT_DATA!$C:$C,"S"))</f>
        <v/>
      </c>
      <c r="J60" s="761" t="str">
        <f>IF($C60=0,"",SUMIFS(INPUT_DATA!AZ:AZ,INPUT_DATA!$A:$A,$C60,INPUT_DATA!$C:$C,"S"))</f>
        <v/>
      </c>
      <c r="K60" s="761" t="str">
        <f>IF($C60=0,"",SUMIFS(INPUT_DATA!BA:BA,INPUT_DATA!$A:$A,$C60,INPUT_DATA!$C:$C,"S"))</f>
        <v/>
      </c>
      <c r="L60" s="761" t="str">
        <f>IF($C60=0,"",SUMIFS(INPUT_DATA!BB:BB,INPUT_DATA!$A:$A,$C60,INPUT_DATA!$C:$C,"S"))</f>
        <v/>
      </c>
      <c r="M60" s="761" t="str">
        <f>IF($C60=0,"",SUMIFS(INPUT_DATA!BC:BC,INPUT_DATA!$A:$A,$C60,INPUT_DATA!$C:$C,"S"))</f>
        <v/>
      </c>
      <c r="N60" s="761" t="str">
        <f>IF($C60=0,"",SUMIFS(INPUT_DATA!BD:BD,INPUT_DATA!$A:$A,$C60,INPUT_DATA!$C:$C,"S"))</f>
        <v/>
      </c>
      <c r="O60" s="761" t="str">
        <f>IF($C60=0,"",SUMIFS(INPUT_DATA!BE:BE,INPUT_DATA!$A:$A,$C60,INPUT_DATA!$C:$C,"S"))</f>
        <v/>
      </c>
      <c r="P60" s="761" t="str">
        <f>IF($C60=0,"",SUMIFS(INPUT_DATA!BF:BF,INPUT_DATA!$A:$A,$C60,INPUT_DATA!$C:$C,"S"))</f>
        <v/>
      </c>
      <c r="Q60" s="767" t="str">
        <f t="shared" si="5"/>
        <v/>
      </c>
      <c r="R60" s="769" t="str">
        <f>IF($C60=0,"",SUMIFS(INPUT_DATA!BH:BH,INPUT_DATA!$A:$A,$C60,INPUT_DATA!$C:$C,"S"))</f>
        <v/>
      </c>
      <c r="S60" s="769" t="str">
        <f>IF($C60=0,"",SUMIFS(INPUT_DATA!BI:BI,INPUT_DATA!$A:$A,$C60,INPUT_DATA!$C:$C,"S"))</f>
        <v/>
      </c>
      <c r="T60" s="767" t="str">
        <f t="shared" si="6"/>
        <v/>
      </c>
      <c r="U60" s="772" t="str">
        <f>IF($C60=0,"",SUMIFS(INPUT_DATA!BL:BL,INPUT_DATA!$A:$A,$C60,INPUT_DATA!$C:$C,"S"))</f>
        <v/>
      </c>
      <c r="V60" s="155" t="str">
        <f t="shared" si="1"/>
        <v/>
      </c>
      <c r="W60" s="149"/>
      <c r="X60" s="749" t="str">
        <f>IF($C60=0,"",SUMIFS(INPUT_DATA!AU:AU,INPUT_DATA!$A:$A,$C60,INPUT_DATA!$C:$C,"D"))</f>
        <v/>
      </c>
      <c r="Y60" s="761" t="str">
        <f>IF($C60=0,"",SUMIFS(INPUT_DATA!AV:AV,INPUT_DATA!$A:$A,$C60,INPUT_DATA!$C:$C,"D"))</f>
        <v/>
      </c>
      <c r="Z60" s="761" t="str">
        <f>IF($C60=0,"",SUMIFS(INPUT_DATA!AW:AW,INPUT_DATA!$A:$A,$C60,INPUT_DATA!$C:$C,"D"))</f>
        <v/>
      </c>
      <c r="AA60" s="762" t="str">
        <f t="shared" si="2"/>
        <v/>
      </c>
      <c r="AB60" s="761" t="str">
        <f>IF($C60=0,"",SUMIFS(INPUT_DATA!AX:AX,INPUT_DATA!$A:$A,$C60,INPUT_DATA!$C:$C,"D"))</f>
        <v/>
      </c>
      <c r="AC60" s="761" t="str">
        <f>IF($C60=0,"",SUMIFS(INPUT_DATA!AY:AY,INPUT_DATA!$A:$A,$C60,INPUT_DATA!$C:$C,"D"))</f>
        <v/>
      </c>
      <c r="AD60" s="761" t="str">
        <f>IF($C60=0,"",SUMIFS(INPUT_DATA!AZ:AZ,INPUT_DATA!$A:$A,$C60,INPUT_DATA!$C:$C,"D"))</f>
        <v/>
      </c>
      <c r="AE60" s="761" t="str">
        <f>IF($C60=0,"",SUMIFS(INPUT_DATA!BA:BA,INPUT_DATA!$A:$A,$C60,INPUT_DATA!$C:$C,"D"))</f>
        <v/>
      </c>
      <c r="AF60" s="761" t="str">
        <f>IF($C60=0,"",SUMIFS(INPUT_DATA!BB:BB,INPUT_DATA!$A:$A,$C60,INPUT_DATA!$C:$C,"D"))</f>
        <v/>
      </c>
      <c r="AG60" s="761" t="str">
        <f>IF($C60=0,"",SUMIFS(INPUT_DATA!BC:BC,INPUT_DATA!$A:$A,$C60,INPUT_DATA!$C:$C,"D"))</f>
        <v/>
      </c>
      <c r="AH60" s="761" t="str">
        <f>IF($C60=0,"",SUMIFS(INPUT_DATA!BD:BD,INPUT_DATA!$A:$A,$C60,INPUT_DATA!$C:$C,"D"))</f>
        <v/>
      </c>
      <c r="AI60" s="761" t="str">
        <f>IF($C60=0,"",SUMIFS(INPUT_DATA!BE:BE,INPUT_DATA!$A:$A,$C60,INPUT_DATA!$C:$C,"D"))</f>
        <v/>
      </c>
      <c r="AJ60" s="314" t="str">
        <f t="shared" si="3"/>
        <v/>
      </c>
      <c r="AK60" s="769" t="str">
        <f>IF($C60=0,"",SUMIFS(INPUT_DATA!BG:BG,INPUT_DATA!$A:$A,$C60,INPUT_DATA!$C:$C,"D"))</f>
        <v/>
      </c>
      <c r="AL60" s="769" t="str">
        <f>IF($C60=0,"",SUMIFS(INPUT_DATA!BH:BH,INPUT_DATA!$A:$A,$C60,INPUT_DATA!$C:$C,"D"))</f>
        <v/>
      </c>
      <c r="AM60" s="769" t="str">
        <f>IF($C60=0,"",SUMIFS(INPUT_DATA!BI:BI,INPUT_DATA!$A:$A,$C60,INPUT_DATA!$C:$C,"D"))</f>
        <v/>
      </c>
      <c r="AN60" s="767" t="str">
        <f t="shared" si="7"/>
        <v/>
      </c>
      <c r="AO60" s="772" t="str">
        <f>IF($C60=0,"",SUMIFS(INPUT_DATA!BK:BK,INPUT_DATA!$A:$A,$C60,INPUT_DATA!$C:$C,"D"))</f>
        <v/>
      </c>
      <c r="AP60" s="354" t="str">
        <f t="shared" si="8"/>
        <v/>
      </c>
      <c r="AQ60" s="149"/>
      <c r="AS60" s="354" t="str">
        <f t="shared" si="9"/>
        <v/>
      </c>
      <c r="AU60" s="378" t="str">
        <f>IF($C60=0,"",'03 - Monthly Asset Follow up'!E64+'03 - Monthly Asset Follow up'!F64-'03 - Monthly Asset Follow up'!U64+'03 - Monthly Asset Follow up'!X64-H60)</f>
        <v/>
      </c>
      <c r="AV60" s="378" t="str">
        <f>IF($C60=0,"",'03 - Monthly Asset Follow up'!BD64+'03 - Monthly Asset Follow up'!BE64-'03 - Monthly Asset Follow up'!BT64+'03 - Monthly Asset Follow up'!BW64-AA60)</f>
        <v/>
      </c>
      <c r="AX60" s="154"/>
    </row>
    <row r="61" spans="2:50" x14ac:dyDescent="0.2">
      <c r="B61" s="753" t="str">
        <f t="shared" si="4"/>
        <v/>
      </c>
      <c r="C61" s="756">
        <f>'03 - Monthly Asset Follow up'!B65</f>
        <v>0</v>
      </c>
      <c r="D61" s="149"/>
      <c r="E61" s="749" t="str">
        <f>IF($C61=0,"",SUMIFS(INPUT_DATA!AU:AU,INPUT_DATA!$A:$A,$C61,INPUT_DATA!$C:$C,"S"))</f>
        <v/>
      </c>
      <c r="F61" s="761" t="str">
        <f>IF($C61=0,"",SUMIFS(INPUT_DATA!AV:AV,INPUT_DATA!$A:$A,$C61,INPUT_DATA!$C:$C,"S"))</f>
        <v/>
      </c>
      <c r="G61" s="761" t="str">
        <f>IF($C61=0,"",SUMIFS(INPUT_DATA!AW:AW,INPUT_DATA!$A:$A,$C61,INPUT_DATA!$C:$C,"S"))</f>
        <v/>
      </c>
      <c r="H61" s="763" t="str">
        <f t="shared" si="0"/>
        <v/>
      </c>
      <c r="I61" s="761" t="str">
        <f>IF($C61=0,"",SUMIFS(INPUT_DATA!AY:AY,INPUT_DATA!$A:$A,$C61,INPUT_DATA!$C:$C,"S"))</f>
        <v/>
      </c>
      <c r="J61" s="761" t="str">
        <f>IF($C61=0,"",SUMIFS(INPUT_DATA!AZ:AZ,INPUT_DATA!$A:$A,$C61,INPUT_DATA!$C:$C,"S"))</f>
        <v/>
      </c>
      <c r="K61" s="761" t="str">
        <f>IF($C61=0,"",SUMIFS(INPUT_DATA!BA:BA,INPUT_DATA!$A:$A,$C61,INPUT_DATA!$C:$C,"S"))</f>
        <v/>
      </c>
      <c r="L61" s="761" t="str">
        <f>IF($C61=0,"",SUMIFS(INPUT_DATA!BB:BB,INPUT_DATA!$A:$A,$C61,INPUT_DATA!$C:$C,"S"))</f>
        <v/>
      </c>
      <c r="M61" s="761" t="str">
        <f>IF($C61=0,"",SUMIFS(INPUT_DATA!BC:BC,INPUT_DATA!$A:$A,$C61,INPUT_DATA!$C:$C,"S"))</f>
        <v/>
      </c>
      <c r="N61" s="761" t="str">
        <f>IF($C61=0,"",SUMIFS(INPUT_DATA!BD:BD,INPUT_DATA!$A:$A,$C61,INPUT_DATA!$C:$C,"S"))</f>
        <v/>
      </c>
      <c r="O61" s="761" t="str">
        <f>IF($C61=0,"",SUMIFS(INPUT_DATA!BE:BE,INPUT_DATA!$A:$A,$C61,INPUT_DATA!$C:$C,"S"))</f>
        <v/>
      </c>
      <c r="P61" s="761" t="str">
        <f>IF($C61=0,"",SUMIFS(INPUT_DATA!BF:BF,INPUT_DATA!$A:$A,$C61,INPUT_DATA!$C:$C,"S"))</f>
        <v/>
      </c>
      <c r="Q61" s="767" t="str">
        <f t="shared" si="5"/>
        <v/>
      </c>
      <c r="R61" s="769" t="str">
        <f>IF($C61=0,"",SUMIFS(INPUT_DATA!BH:BH,INPUT_DATA!$A:$A,$C61,INPUT_DATA!$C:$C,"S"))</f>
        <v/>
      </c>
      <c r="S61" s="769" t="str">
        <f>IF($C61=0,"",SUMIFS(INPUT_DATA!BI:BI,INPUT_DATA!$A:$A,$C61,INPUT_DATA!$C:$C,"S"))</f>
        <v/>
      </c>
      <c r="T61" s="767" t="str">
        <f t="shared" si="6"/>
        <v/>
      </c>
      <c r="U61" s="772" t="str">
        <f>IF($C61=0,"",SUMIFS(INPUT_DATA!BL:BL,INPUT_DATA!$A:$A,$C61,INPUT_DATA!$C:$C,"S"))</f>
        <v/>
      </c>
      <c r="V61" s="155" t="str">
        <f t="shared" si="1"/>
        <v/>
      </c>
      <c r="W61" s="149"/>
      <c r="X61" s="749" t="str">
        <f>IF($C61=0,"",SUMIFS(INPUT_DATA!AU:AU,INPUT_DATA!$A:$A,$C61,INPUT_DATA!$C:$C,"D"))</f>
        <v/>
      </c>
      <c r="Y61" s="761" t="str">
        <f>IF($C61=0,"",SUMIFS(INPUT_DATA!AV:AV,INPUT_DATA!$A:$A,$C61,INPUT_DATA!$C:$C,"D"))</f>
        <v/>
      </c>
      <c r="Z61" s="761" t="str">
        <f>IF($C61=0,"",SUMIFS(INPUT_DATA!AW:AW,INPUT_DATA!$A:$A,$C61,INPUT_DATA!$C:$C,"D"))</f>
        <v/>
      </c>
      <c r="AA61" s="762" t="str">
        <f t="shared" si="2"/>
        <v/>
      </c>
      <c r="AB61" s="761" t="str">
        <f>IF($C61=0,"",SUMIFS(INPUT_DATA!AX:AX,INPUT_DATA!$A:$A,$C61,INPUT_DATA!$C:$C,"D"))</f>
        <v/>
      </c>
      <c r="AC61" s="761" t="str">
        <f>IF($C61=0,"",SUMIFS(INPUT_DATA!AY:AY,INPUT_DATA!$A:$A,$C61,INPUT_DATA!$C:$C,"D"))</f>
        <v/>
      </c>
      <c r="AD61" s="761" t="str">
        <f>IF($C61=0,"",SUMIFS(INPUT_DATA!AZ:AZ,INPUT_DATA!$A:$A,$C61,INPUT_DATA!$C:$C,"D"))</f>
        <v/>
      </c>
      <c r="AE61" s="761" t="str">
        <f>IF($C61=0,"",SUMIFS(INPUT_DATA!BA:BA,INPUT_DATA!$A:$A,$C61,INPUT_DATA!$C:$C,"D"))</f>
        <v/>
      </c>
      <c r="AF61" s="761" t="str">
        <f>IF($C61=0,"",SUMIFS(INPUT_DATA!BB:BB,INPUT_DATA!$A:$A,$C61,INPUT_DATA!$C:$C,"D"))</f>
        <v/>
      </c>
      <c r="AG61" s="761" t="str">
        <f>IF($C61=0,"",SUMIFS(INPUT_DATA!BC:BC,INPUT_DATA!$A:$A,$C61,INPUT_DATA!$C:$C,"D"))</f>
        <v/>
      </c>
      <c r="AH61" s="761" t="str">
        <f>IF($C61=0,"",SUMIFS(INPUT_DATA!BD:BD,INPUT_DATA!$A:$A,$C61,INPUT_DATA!$C:$C,"D"))</f>
        <v/>
      </c>
      <c r="AI61" s="761" t="str">
        <f>IF($C61=0,"",SUMIFS(INPUT_DATA!BE:BE,INPUT_DATA!$A:$A,$C61,INPUT_DATA!$C:$C,"D"))</f>
        <v/>
      </c>
      <c r="AJ61" s="314" t="str">
        <f t="shared" si="3"/>
        <v/>
      </c>
      <c r="AK61" s="769" t="str">
        <f>IF($C61=0,"",SUMIFS(INPUT_DATA!BG:BG,INPUT_DATA!$A:$A,$C61,INPUT_DATA!$C:$C,"D"))</f>
        <v/>
      </c>
      <c r="AL61" s="769" t="str">
        <f>IF($C61=0,"",SUMIFS(INPUT_DATA!BH:BH,INPUT_DATA!$A:$A,$C61,INPUT_DATA!$C:$C,"D"))</f>
        <v/>
      </c>
      <c r="AM61" s="769" t="str">
        <f>IF($C61=0,"",SUMIFS(INPUT_DATA!BI:BI,INPUT_DATA!$A:$A,$C61,INPUT_DATA!$C:$C,"D"))</f>
        <v/>
      </c>
      <c r="AN61" s="767" t="str">
        <f t="shared" si="7"/>
        <v/>
      </c>
      <c r="AO61" s="772" t="str">
        <f>IF($C61=0,"",SUMIFS(INPUT_DATA!BK:BK,INPUT_DATA!$A:$A,$C61,INPUT_DATA!$C:$C,"D"))</f>
        <v/>
      </c>
      <c r="AP61" s="354" t="str">
        <f t="shared" si="8"/>
        <v/>
      </c>
      <c r="AQ61" s="149"/>
      <c r="AS61" s="354" t="str">
        <f t="shared" si="9"/>
        <v/>
      </c>
      <c r="AU61" s="378" t="str">
        <f>IF($C61=0,"",'03 - Monthly Asset Follow up'!E65+'03 - Monthly Asset Follow up'!F65-'03 - Monthly Asset Follow up'!U65+'03 - Monthly Asset Follow up'!X65-H61)</f>
        <v/>
      </c>
      <c r="AV61" s="378" t="str">
        <f>IF($C61=0,"",'03 - Monthly Asset Follow up'!BD65+'03 - Monthly Asset Follow up'!BE65-'03 - Monthly Asset Follow up'!BT65+'03 - Monthly Asset Follow up'!BW65-AA61)</f>
        <v/>
      </c>
      <c r="AX61" s="154"/>
    </row>
    <row r="62" spans="2:50" x14ac:dyDescent="0.2">
      <c r="B62" s="753" t="str">
        <f t="shared" si="4"/>
        <v/>
      </c>
      <c r="C62" s="756">
        <f>'03 - Monthly Asset Follow up'!B66</f>
        <v>0</v>
      </c>
      <c r="D62" s="149"/>
      <c r="E62" s="749" t="str">
        <f>IF($C62=0,"",SUMIFS(INPUT_DATA!AU:AU,INPUT_DATA!$A:$A,$C62,INPUT_DATA!$C:$C,"S"))</f>
        <v/>
      </c>
      <c r="F62" s="761" t="str">
        <f>IF($C62=0,"",SUMIFS(INPUT_DATA!AV:AV,INPUT_DATA!$A:$A,$C62,INPUT_DATA!$C:$C,"S"))</f>
        <v/>
      </c>
      <c r="G62" s="761" t="str">
        <f>IF($C62=0,"",SUMIFS(INPUT_DATA!AW:AW,INPUT_DATA!$A:$A,$C62,INPUT_DATA!$C:$C,"S"))</f>
        <v/>
      </c>
      <c r="H62" s="763" t="str">
        <f t="shared" si="0"/>
        <v/>
      </c>
      <c r="I62" s="761" t="str">
        <f>IF($C62=0,"",SUMIFS(INPUT_DATA!AY:AY,INPUT_DATA!$A:$A,$C62,INPUT_DATA!$C:$C,"S"))</f>
        <v/>
      </c>
      <c r="J62" s="761" t="str">
        <f>IF($C62=0,"",SUMIFS(INPUT_DATA!AZ:AZ,INPUT_DATA!$A:$A,$C62,INPUT_DATA!$C:$C,"S"))</f>
        <v/>
      </c>
      <c r="K62" s="761" t="str">
        <f>IF($C62=0,"",SUMIFS(INPUT_DATA!BA:BA,INPUT_DATA!$A:$A,$C62,INPUT_DATA!$C:$C,"S"))</f>
        <v/>
      </c>
      <c r="L62" s="761" t="str">
        <f>IF($C62=0,"",SUMIFS(INPUT_DATA!BB:BB,INPUT_DATA!$A:$A,$C62,INPUT_DATA!$C:$C,"S"))</f>
        <v/>
      </c>
      <c r="M62" s="761" t="str">
        <f>IF($C62=0,"",SUMIFS(INPUT_DATA!BC:BC,INPUT_DATA!$A:$A,$C62,INPUT_DATA!$C:$C,"S"))</f>
        <v/>
      </c>
      <c r="N62" s="761" t="str">
        <f>IF($C62=0,"",SUMIFS(INPUT_DATA!BD:BD,INPUT_DATA!$A:$A,$C62,INPUT_DATA!$C:$C,"S"))</f>
        <v/>
      </c>
      <c r="O62" s="761" t="str">
        <f>IF($C62=0,"",SUMIFS(INPUT_DATA!BE:BE,INPUT_DATA!$A:$A,$C62,INPUT_DATA!$C:$C,"S"))</f>
        <v/>
      </c>
      <c r="P62" s="761" t="str">
        <f>IF($C62=0,"",SUMIFS(INPUT_DATA!BF:BF,INPUT_DATA!$A:$A,$C62,INPUT_DATA!$C:$C,"S"))</f>
        <v/>
      </c>
      <c r="Q62" s="767" t="str">
        <f t="shared" si="5"/>
        <v/>
      </c>
      <c r="R62" s="769" t="str">
        <f>IF($C62=0,"",SUMIFS(INPUT_DATA!BH:BH,INPUT_DATA!$A:$A,$C62,INPUT_DATA!$C:$C,"S"))</f>
        <v/>
      </c>
      <c r="S62" s="769" t="str">
        <f>IF($C62=0,"",SUMIFS(INPUT_DATA!BI:BI,INPUT_DATA!$A:$A,$C62,INPUT_DATA!$C:$C,"S"))</f>
        <v/>
      </c>
      <c r="T62" s="767" t="str">
        <f t="shared" si="6"/>
        <v/>
      </c>
      <c r="U62" s="772" t="str">
        <f>IF($C62=0,"",SUMIFS(INPUT_DATA!BL:BL,INPUT_DATA!$A:$A,$C62,INPUT_DATA!$C:$C,"S"))</f>
        <v/>
      </c>
      <c r="V62" s="155" t="str">
        <f t="shared" si="1"/>
        <v/>
      </c>
      <c r="W62" s="149"/>
      <c r="X62" s="749" t="str">
        <f>IF($C62=0,"",SUMIFS(INPUT_DATA!AU:AU,INPUT_DATA!$A:$A,$C62,INPUT_DATA!$C:$C,"D"))</f>
        <v/>
      </c>
      <c r="Y62" s="761" t="str">
        <f>IF($C62=0,"",SUMIFS(INPUT_DATA!AV:AV,INPUT_DATA!$A:$A,$C62,INPUT_DATA!$C:$C,"D"))</f>
        <v/>
      </c>
      <c r="Z62" s="761" t="str">
        <f>IF($C62=0,"",SUMIFS(INPUT_DATA!AW:AW,INPUT_DATA!$A:$A,$C62,INPUT_DATA!$C:$C,"D"))</f>
        <v/>
      </c>
      <c r="AA62" s="762" t="str">
        <f t="shared" si="2"/>
        <v/>
      </c>
      <c r="AB62" s="761" t="str">
        <f>IF($C62=0,"",SUMIFS(INPUT_DATA!AX:AX,INPUT_DATA!$A:$A,$C62,INPUT_DATA!$C:$C,"D"))</f>
        <v/>
      </c>
      <c r="AC62" s="761" t="str">
        <f>IF($C62=0,"",SUMIFS(INPUT_DATA!AY:AY,INPUT_DATA!$A:$A,$C62,INPUT_DATA!$C:$C,"D"))</f>
        <v/>
      </c>
      <c r="AD62" s="761" t="str">
        <f>IF($C62=0,"",SUMIFS(INPUT_DATA!AZ:AZ,INPUT_DATA!$A:$A,$C62,INPUT_DATA!$C:$C,"D"))</f>
        <v/>
      </c>
      <c r="AE62" s="761" t="str">
        <f>IF($C62=0,"",SUMIFS(INPUT_DATA!BA:BA,INPUT_DATA!$A:$A,$C62,INPUT_DATA!$C:$C,"D"))</f>
        <v/>
      </c>
      <c r="AF62" s="761" t="str">
        <f>IF($C62=0,"",SUMIFS(INPUT_DATA!BB:BB,INPUT_DATA!$A:$A,$C62,INPUT_DATA!$C:$C,"D"))</f>
        <v/>
      </c>
      <c r="AG62" s="761" t="str">
        <f>IF($C62=0,"",SUMIFS(INPUT_DATA!BC:BC,INPUT_DATA!$A:$A,$C62,INPUT_DATA!$C:$C,"D"))</f>
        <v/>
      </c>
      <c r="AH62" s="761" t="str">
        <f>IF($C62=0,"",SUMIFS(INPUT_DATA!BD:BD,INPUT_DATA!$A:$A,$C62,INPUT_DATA!$C:$C,"D"))</f>
        <v/>
      </c>
      <c r="AI62" s="761" t="str">
        <f>IF($C62=0,"",SUMIFS(INPUT_DATA!BE:BE,INPUT_DATA!$A:$A,$C62,INPUT_DATA!$C:$C,"D"))</f>
        <v/>
      </c>
      <c r="AJ62" s="314" t="str">
        <f t="shared" si="3"/>
        <v/>
      </c>
      <c r="AK62" s="769" t="str">
        <f>IF($C62=0,"",SUMIFS(INPUT_DATA!BG:BG,INPUT_DATA!$A:$A,$C62,INPUT_DATA!$C:$C,"D"))</f>
        <v/>
      </c>
      <c r="AL62" s="769" t="str">
        <f>IF($C62=0,"",SUMIFS(INPUT_DATA!BH:BH,INPUT_DATA!$A:$A,$C62,INPUT_DATA!$C:$C,"D"))</f>
        <v/>
      </c>
      <c r="AM62" s="769" t="str">
        <f>IF($C62=0,"",SUMIFS(INPUT_DATA!BI:BI,INPUT_DATA!$A:$A,$C62,INPUT_DATA!$C:$C,"D"))</f>
        <v/>
      </c>
      <c r="AN62" s="767" t="str">
        <f t="shared" si="7"/>
        <v/>
      </c>
      <c r="AO62" s="772" t="str">
        <f>IF($C62=0,"",SUMIFS(INPUT_DATA!BK:BK,INPUT_DATA!$A:$A,$C62,INPUT_DATA!$C:$C,"D"))</f>
        <v/>
      </c>
      <c r="AP62" s="354" t="str">
        <f t="shared" si="8"/>
        <v/>
      </c>
      <c r="AQ62" s="149"/>
      <c r="AS62" s="354" t="str">
        <f t="shared" si="9"/>
        <v/>
      </c>
      <c r="AU62" s="378" t="str">
        <f>IF($C62=0,"",'03 - Monthly Asset Follow up'!E66+'03 - Monthly Asset Follow up'!F66-'03 - Monthly Asset Follow up'!U66+'03 - Monthly Asset Follow up'!X66-H62)</f>
        <v/>
      </c>
      <c r="AV62" s="378" t="str">
        <f>IF($C62=0,"",'03 - Monthly Asset Follow up'!BD66+'03 - Monthly Asset Follow up'!BE66-'03 - Monthly Asset Follow up'!BT66+'03 - Monthly Asset Follow up'!BW66-AA62)</f>
        <v/>
      </c>
      <c r="AX62" s="154"/>
    </row>
    <row r="63" spans="2:50" x14ac:dyDescent="0.2">
      <c r="B63" s="753" t="str">
        <f t="shared" si="4"/>
        <v/>
      </c>
      <c r="C63" s="756">
        <f>'03 - Monthly Asset Follow up'!B67</f>
        <v>0</v>
      </c>
      <c r="D63" s="149"/>
      <c r="E63" s="749" t="str">
        <f>IF($C63=0,"",SUMIFS(INPUT_DATA!AU:AU,INPUT_DATA!$A:$A,$C63,INPUT_DATA!$C:$C,"S"))</f>
        <v/>
      </c>
      <c r="F63" s="761" t="str">
        <f>IF($C63=0,"",SUMIFS(INPUT_DATA!AV:AV,INPUT_DATA!$A:$A,$C63,INPUT_DATA!$C:$C,"S"))</f>
        <v/>
      </c>
      <c r="G63" s="761" t="str">
        <f>IF($C63=0,"",SUMIFS(INPUT_DATA!AW:AW,INPUT_DATA!$A:$A,$C63,INPUT_DATA!$C:$C,"S"))</f>
        <v/>
      </c>
      <c r="H63" s="763" t="str">
        <f t="shared" si="0"/>
        <v/>
      </c>
      <c r="I63" s="761" t="str">
        <f>IF($C63=0,"",SUMIFS(INPUT_DATA!AY:AY,INPUT_DATA!$A:$A,$C63,INPUT_DATA!$C:$C,"S"))</f>
        <v/>
      </c>
      <c r="J63" s="761" t="str">
        <f>IF($C63=0,"",SUMIFS(INPUT_DATA!AZ:AZ,INPUT_DATA!$A:$A,$C63,INPUT_DATA!$C:$C,"S"))</f>
        <v/>
      </c>
      <c r="K63" s="761" t="str">
        <f>IF($C63=0,"",SUMIFS(INPUT_DATA!BA:BA,INPUT_DATA!$A:$A,$C63,INPUT_DATA!$C:$C,"S"))</f>
        <v/>
      </c>
      <c r="L63" s="761" t="str">
        <f>IF($C63=0,"",SUMIFS(INPUT_DATA!BB:BB,INPUT_DATA!$A:$A,$C63,INPUT_DATA!$C:$C,"S"))</f>
        <v/>
      </c>
      <c r="M63" s="761" t="str">
        <f>IF($C63=0,"",SUMIFS(INPUT_DATA!BC:BC,INPUT_DATA!$A:$A,$C63,INPUT_DATA!$C:$C,"S"))</f>
        <v/>
      </c>
      <c r="N63" s="761" t="str">
        <f>IF($C63=0,"",SUMIFS(INPUT_DATA!BD:BD,INPUT_DATA!$A:$A,$C63,INPUT_DATA!$C:$C,"S"))</f>
        <v/>
      </c>
      <c r="O63" s="761" t="str">
        <f>IF($C63=0,"",SUMIFS(INPUT_DATA!BE:BE,INPUT_DATA!$A:$A,$C63,INPUT_DATA!$C:$C,"S"))</f>
        <v/>
      </c>
      <c r="P63" s="761" t="str">
        <f>IF($C63=0,"",SUMIFS(INPUT_DATA!BF:BF,INPUT_DATA!$A:$A,$C63,INPUT_DATA!$C:$C,"S"))</f>
        <v/>
      </c>
      <c r="Q63" s="767" t="str">
        <f t="shared" si="5"/>
        <v/>
      </c>
      <c r="R63" s="769" t="str">
        <f>IF($C63=0,"",SUMIFS(INPUT_DATA!BH:BH,INPUT_DATA!$A:$A,$C63,INPUT_DATA!$C:$C,"S"))</f>
        <v/>
      </c>
      <c r="S63" s="769" t="str">
        <f>IF($C63=0,"",SUMIFS(INPUT_DATA!BI:BI,INPUT_DATA!$A:$A,$C63,INPUT_DATA!$C:$C,"S"))</f>
        <v/>
      </c>
      <c r="T63" s="767" t="str">
        <f t="shared" si="6"/>
        <v/>
      </c>
      <c r="U63" s="772" t="str">
        <f>IF($C63=0,"",SUMIFS(INPUT_DATA!BL:BL,INPUT_DATA!$A:$A,$C63,INPUT_DATA!$C:$C,"S"))</f>
        <v/>
      </c>
      <c r="V63" s="155" t="str">
        <f t="shared" si="1"/>
        <v/>
      </c>
      <c r="W63" s="149"/>
      <c r="X63" s="749" t="str">
        <f>IF($C63=0,"",SUMIFS(INPUT_DATA!AU:AU,INPUT_DATA!$A:$A,$C63,INPUT_DATA!$C:$C,"D"))</f>
        <v/>
      </c>
      <c r="Y63" s="761" t="str">
        <f>IF($C63=0,"",SUMIFS(INPUT_DATA!AV:AV,INPUT_DATA!$A:$A,$C63,INPUT_DATA!$C:$C,"D"))</f>
        <v/>
      </c>
      <c r="Z63" s="761" t="str">
        <f>IF($C63=0,"",SUMIFS(INPUT_DATA!AW:AW,INPUT_DATA!$A:$A,$C63,INPUT_DATA!$C:$C,"D"))</f>
        <v/>
      </c>
      <c r="AA63" s="762" t="str">
        <f t="shared" si="2"/>
        <v/>
      </c>
      <c r="AB63" s="761" t="str">
        <f>IF($C63=0,"",SUMIFS(INPUT_DATA!AX:AX,INPUT_DATA!$A:$A,$C63,INPUT_DATA!$C:$C,"D"))</f>
        <v/>
      </c>
      <c r="AC63" s="761" t="str">
        <f>IF($C63=0,"",SUMIFS(INPUT_DATA!AY:AY,INPUT_DATA!$A:$A,$C63,INPUT_DATA!$C:$C,"D"))</f>
        <v/>
      </c>
      <c r="AD63" s="761" t="str">
        <f>IF($C63=0,"",SUMIFS(INPUT_DATA!AZ:AZ,INPUT_DATA!$A:$A,$C63,INPUT_DATA!$C:$C,"D"))</f>
        <v/>
      </c>
      <c r="AE63" s="761" t="str">
        <f>IF($C63=0,"",SUMIFS(INPUT_DATA!BA:BA,INPUT_DATA!$A:$A,$C63,INPUT_DATA!$C:$C,"D"))</f>
        <v/>
      </c>
      <c r="AF63" s="761" t="str">
        <f>IF($C63=0,"",SUMIFS(INPUT_DATA!BB:BB,INPUT_DATA!$A:$A,$C63,INPUT_DATA!$C:$C,"D"))</f>
        <v/>
      </c>
      <c r="AG63" s="761" t="str">
        <f>IF($C63=0,"",SUMIFS(INPUT_DATA!BC:BC,INPUT_DATA!$A:$A,$C63,INPUT_DATA!$C:$C,"D"))</f>
        <v/>
      </c>
      <c r="AH63" s="761" t="str">
        <f>IF($C63=0,"",SUMIFS(INPUT_DATA!BD:BD,INPUT_DATA!$A:$A,$C63,INPUT_DATA!$C:$C,"D"))</f>
        <v/>
      </c>
      <c r="AI63" s="761" t="str">
        <f>IF($C63=0,"",SUMIFS(INPUT_DATA!BE:BE,INPUT_DATA!$A:$A,$C63,INPUT_DATA!$C:$C,"D"))</f>
        <v/>
      </c>
      <c r="AJ63" s="314" t="str">
        <f t="shared" si="3"/>
        <v/>
      </c>
      <c r="AK63" s="769" t="str">
        <f>IF($C63=0,"",SUMIFS(INPUT_DATA!BG:BG,INPUT_DATA!$A:$A,$C63,INPUT_DATA!$C:$C,"D"))</f>
        <v/>
      </c>
      <c r="AL63" s="769" t="str">
        <f>IF($C63=0,"",SUMIFS(INPUT_DATA!BH:BH,INPUT_DATA!$A:$A,$C63,INPUT_DATA!$C:$C,"D"))</f>
        <v/>
      </c>
      <c r="AM63" s="769" t="str">
        <f>IF($C63=0,"",SUMIFS(INPUT_DATA!BI:BI,INPUT_DATA!$A:$A,$C63,INPUT_DATA!$C:$C,"D"))</f>
        <v/>
      </c>
      <c r="AN63" s="767" t="str">
        <f t="shared" si="7"/>
        <v/>
      </c>
      <c r="AO63" s="772" t="str">
        <f>IF($C63=0,"",SUMIFS(INPUT_DATA!BK:BK,INPUT_DATA!$A:$A,$C63,INPUT_DATA!$C:$C,"D"))</f>
        <v/>
      </c>
      <c r="AP63" s="354" t="str">
        <f t="shared" si="8"/>
        <v/>
      </c>
      <c r="AQ63" s="149"/>
      <c r="AS63" s="354" t="str">
        <f t="shared" si="9"/>
        <v/>
      </c>
      <c r="AU63" s="378" t="str">
        <f>IF($C63=0,"",'03 - Monthly Asset Follow up'!E67+'03 - Monthly Asset Follow up'!F67-'03 - Monthly Asset Follow up'!U67+'03 - Monthly Asset Follow up'!X67-H63)</f>
        <v/>
      </c>
      <c r="AV63" s="378" t="str">
        <f>IF($C63=0,"",'03 - Monthly Asset Follow up'!BD67+'03 - Monthly Asset Follow up'!BE67-'03 - Monthly Asset Follow up'!BT67+'03 - Monthly Asset Follow up'!BW67-AA63)</f>
        <v/>
      </c>
      <c r="AX63" s="154"/>
    </row>
    <row r="64" spans="2:50" x14ac:dyDescent="0.2">
      <c r="B64" s="753" t="str">
        <f t="shared" si="4"/>
        <v/>
      </c>
      <c r="C64" s="756">
        <f>'03 - Monthly Asset Follow up'!B68</f>
        <v>0</v>
      </c>
      <c r="D64" s="149"/>
      <c r="E64" s="749" t="str">
        <f>IF($C64=0,"",SUMIFS(INPUT_DATA!AU:AU,INPUT_DATA!$A:$A,$C64,INPUT_DATA!$C:$C,"S"))</f>
        <v/>
      </c>
      <c r="F64" s="761" t="str">
        <f>IF($C64=0,"",SUMIFS(INPUT_DATA!AV:AV,INPUT_DATA!$A:$A,$C64,INPUT_DATA!$C:$C,"S"))</f>
        <v/>
      </c>
      <c r="G64" s="761" t="str">
        <f>IF($C64=0,"",SUMIFS(INPUT_DATA!AW:AW,INPUT_DATA!$A:$A,$C64,INPUT_DATA!$C:$C,"S"))</f>
        <v/>
      </c>
      <c r="H64" s="763" t="str">
        <f t="shared" si="0"/>
        <v/>
      </c>
      <c r="I64" s="761" t="str">
        <f>IF($C64=0,"",SUMIFS(INPUT_DATA!AY:AY,INPUT_DATA!$A:$A,$C64,INPUT_DATA!$C:$C,"S"))</f>
        <v/>
      </c>
      <c r="J64" s="761" t="str">
        <f>IF($C64=0,"",SUMIFS(INPUT_DATA!AZ:AZ,INPUT_DATA!$A:$A,$C64,INPUT_DATA!$C:$C,"S"))</f>
        <v/>
      </c>
      <c r="K64" s="761" t="str">
        <f>IF($C64=0,"",SUMIFS(INPUT_DATA!BA:BA,INPUT_DATA!$A:$A,$C64,INPUT_DATA!$C:$C,"S"))</f>
        <v/>
      </c>
      <c r="L64" s="761" t="str">
        <f>IF($C64=0,"",SUMIFS(INPUT_DATA!BB:BB,INPUT_DATA!$A:$A,$C64,INPUT_DATA!$C:$C,"S"))</f>
        <v/>
      </c>
      <c r="M64" s="761" t="str">
        <f>IF($C64=0,"",SUMIFS(INPUT_DATA!BC:BC,INPUT_DATA!$A:$A,$C64,INPUT_DATA!$C:$C,"S"))</f>
        <v/>
      </c>
      <c r="N64" s="761" t="str">
        <f>IF($C64=0,"",SUMIFS(INPUT_DATA!BD:BD,INPUT_DATA!$A:$A,$C64,INPUT_DATA!$C:$C,"S"))</f>
        <v/>
      </c>
      <c r="O64" s="761" t="str">
        <f>IF($C64=0,"",SUMIFS(INPUT_DATA!BE:BE,INPUT_DATA!$A:$A,$C64,INPUT_DATA!$C:$C,"S"))</f>
        <v/>
      </c>
      <c r="P64" s="761" t="str">
        <f>IF($C64=0,"",SUMIFS(INPUT_DATA!BF:BF,INPUT_DATA!$A:$A,$C64,INPUT_DATA!$C:$C,"S"))</f>
        <v/>
      </c>
      <c r="Q64" s="767" t="str">
        <f t="shared" si="5"/>
        <v/>
      </c>
      <c r="R64" s="769" t="str">
        <f>IF($C64=0,"",SUMIFS(INPUT_DATA!BH:BH,INPUT_DATA!$A:$A,$C64,INPUT_DATA!$C:$C,"S"))</f>
        <v/>
      </c>
      <c r="S64" s="769" t="str">
        <f>IF($C64=0,"",SUMIFS(INPUT_DATA!BI:BI,INPUT_DATA!$A:$A,$C64,INPUT_DATA!$C:$C,"S"))</f>
        <v/>
      </c>
      <c r="T64" s="767" t="str">
        <f t="shared" si="6"/>
        <v/>
      </c>
      <c r="U64" s="772" t="str">
        <f>IF($C64=0,"",SUMIFS(INPUT_DATA!BL:BL,INPUT_DATA!$A:$A,$C64,INPUT_DATA!$C:$C,"S"))</f>
        <v/>
      </c>
      <c r="V64" s="155" t="str">
        <f t="shared" si="1"/>
        <v/>
      </c>
      <c r="W64" s="149"/>
      <c r="X64" s="749" t="str">
        <f>IF($C64=0,"",SUMIFS(INPUT_DATA!AU:AU,INPUT_DATA!$A:$A,$C64,INPUT_DATA!$C:$C,"D"))</f>
        <v/>
      </c>
      <c r="Y64" s="761" t="str">
        <f>IF($C64=0,"",SUMIFS(INPUT_DATA!AV:AV,INPUT_DATA!$A:$A,$C64,INPUT_DATA!$C:$C,"D"))</f>
        <v/>
      </c>
      <c r="Z64" s="761" t="str">
        <f>IF($C64=0,"",SUMIFS(INPUT_DATA!AW:AW,INPUT_DATA!$A:$A,$C64,INPUT_DATA!$C:$C,"D"))</f>
        <v/>
      </c>
      <c r="AA64" s="762" t="str">
        <f t="shared" si="2"/>
        <v/>
      </c>
      <c r="AB64" s="761" t="str">
        <f>IF($C64=0,"",SUMIFS(INPUT_DATA!AX:AX,INPUT_DATA!$A:$A,$C64,INPUT_DATA!$C:$C,"D"))</f>
        <v/>
      </c>
      <c r="AC64" s="761" t="str">
        <f>IF($C64=0,"",SUMIFS(INPUT_DATA!AY:AY,INPUT_DATA!$A:$A,$C64,INPUT_DATA!$C:$C,"D"))</f>
        <v/>
      </c>
      <c r="AD64" s="761" t="str">
        <f>IF($C64=0,"",SUMIFS(INPUT_DATA!AZ:AZ,INPUT_DATA!$A:$A,$C64,INPUT_DATA!$C:$C,"D"))</f>
        <v/>
      </c>
      <c r="AE64" s="761" t="str">
        <f>IF($C64=0,"",SUMIFS(INPUT_DATA!BA:BA,INPUT_DATA!$A:$A,$C64,INPUT_DATA!$C:$C,"D"))</f>
        <v/>
      </c>
      <c r="AF64" s="761" t="str">
        <f>IF($C64=0,"",SUMIFS(INPUT_DATA!BB:BB,INPUT_DATA!$A:$A,$C64,INPUT_DATA!$C:$C,"D"))</f>
        <v/>
      </c>
      <c r="AG64" s="761" t="str">
        <f>IF($C64=0,"",SUMIFS(INPUT_DATA!BC:BC,INPUT_DATA!$A:$A,$C64,INPUT_DATA!$C:$C,"D"))</f>
        <v/>
      </c>
      <c r="AH64" s="761" t="str">
        <f>IF($C64=0,"",SUMIFS(INPUT_DATA!BD:BD,INPUT_DATA!$A:$A,$C64,INPUT_DATA!$C:$C,"D"))</f>
        <v/>
      </c>
      <c r="AI64" s="761" t="str">
        <f>IF($C64=0,"",SUMIFS(INPUT_DATA!BE:BE,INPUT_DATA!$A:$A,$C64,INPUT_DATA!$C:$C,"D"))</f>
        <v/>
      </c>
      <c r="AJ64" s="314" t="str">
        <f t="shared" si="3"/>
        <v/>
      </c>
      <c r="AK64" s="769" t="str">
        <f>IF($C64=0,"",SUMIFS(INPUT_DATA!BG:BG,INPUT_DATA!$A:$A,$C64,INPUT_DATA!$C:$C,"D"))</f>
        <v/>
      </c>
      <c r="AL64" s="769" t="str">
        <f>IF($C64=0,"",SUMIFS(INPUT_DATA!BH:BH,INPUT_DATA!$A:$A,$C64,INPUT_DATA!$C:$C,"D"))</f>
        <v/>
      </c>
      <c r="AM64" s="769" t="str">
        <f>IF($C64=0,"",SUMIFS(INPUT_DATA!BI:BI,INPUT_DATA!$A:$A,$C64,INPUT_DATA!$C:$C,"D"))</f>
        <v/>
      </c>
      <c r="AN64" s="767" t="str">
        <f t="shared" si="7"/>
        <v/>
      </c>
      <c r="AO64" s="772" t="str">
        <f>IF($C64=0,"",SUMIFS(INPUT_DATA!BK:BK,INPUT_DATA!$A:$A,$C64,INPUT_DATA!$C:$C,"D"))</f>
        <v/>
      </c>
      <c r="AP64" s="354" t="str">
        <f t="shared" si="8"/>
        <v/>
      </c>
      <c r="AQ64" s="149"/>
      <c r="AS64" s="354" t="str">
        <f t="shared" si="9"/>
        <v/>
      </c>
      <c r="AU64" s="378" t="str">
        <f>IF($C64=0,"",'03 - Monthly Asset Follow up'!E68+'03 - Monthly Asset Follow up'!F68-'03 - Monthly Asset Follow up'!U68+'03 - Monthly Asset Follow up'!X68-H64)</f>
        <v/>
      </c>
      <c r="AV64" s="378" t="str">
        <f>IF($C64=0,"",'03 - Monthly Asset Follow up'!BD68+'03 - Monthly Asset Follow up'!BE68-'03 - Monthly Asset Follow up'!BT68+'03 - Monthly Asset Follow up'!BW68-AA64)</f>
        <v/>
      </c>
      <c r="AX64" s="154"/>
    </row>
    <row r="65" spans="2:50" x14ac:dyDescent="0.2">
      <c r="B65" s="753" t="str">
        <f t="shared" si="4"/>
        <v/>
      </c>
      <c r="C65" s="756">
        <f>'03 - Monthly Asset Follow up'!B69</f>
        <v>0</v>
      </c>
      <c r="D65" s="149"/>
      <c r="E65" s="749" t="str">
        <f>IF($C65=0,"",SUMIFS(INPUT_DATA!AU:AU,INPUT_DATA!$A:$A,$C65,INPUT_DATA!$C:$C,"S"))</f>
        <v/>
      </c>
      <c r="F65" s="761" t="str">
        <f>IF($C65=0,"",SUMIFS(INPUT_DATA!AV:AV,INPUT_DATA!$A:$A,$C65,INPUT_DATA!$C:$C,"S"))</f>
        <v/>
      </c>
      <c r="G65" s="761" t="str">
        <f>IF($C65=0,"",SUMIFS(INPUT_DATA!AW:AW,INPUT_DATA!$A:$A,$C65,INPUT_DATA!$C:$C,"S"))</f>
        <v/>
      </c>
      <c r="H65" s="763" t="str">
        <f t="shared" si="0"/>
        <v/>
      </c>
      <c r="I65" s="761" t="str">
        <f>IF($C65=0,"",SUMIFS(INPUT_DATA!AY:AY,INPUT_DATA!$A:$A,$C65,INPUT_DATA!$C:$C,"S"))</f>
        <v/>
      </c>
      <c r="J65" s="761" t="str">
        <f>IF($C65=0,"",SUMIFS(INPUT_DATA!AZ:AZ,INPUT_DATA!$A:$A,$C65,INPUT_DATA!$C:$C,"S"))</f>
        <v/>
      </c>
      <c r="K65" s="761" t="str">
        <f>IF($C65=0,"",SUMIFS(INPUT_DATA!BA:BA,INPUT_DATA!$A:$A,$C65,INPUT_DATA!$C:$C,"S"))</f>
        <v/>
      </c>
      <c r="L65" s="761" t="str">
        <f>IF($C65=0,"",SUMIFS(INPUT_DATA!BB:BB,INPUT_DATA!$A:$A,$C65,INPUT_DATA!$C:$C,"S"))</f>
        <v/>
      </c>
      <c r="M65" s="761" t="str">
        <f>IF($C65=0,"",SUMIFS(INPUT_DATA!BC:BC,INPUT_DATA!$A:$A,$C65,INPUT_DATA!$C:$C,"S"))</f>
        <v/>
      </c>
      <c r="N65" s="761" t="str">
        <f>IF($C65=0,"",SUMIFS(INPUT_DATA!BD:BD,INPUT_DATA!$A:$A,$C65,INPUT_DATA!$C:$C,"S"))</f>
        <v/>
      </c>
      <c r="O65" s="761" t="str">
        <f>IF($C65=0,"",SUMIFS(INPUT_DATA!BE:BE,INPUT_DATA!$A:$A,$C65,INPUT_DATA!$C:$C,"S"))</f>
        <v/>
      </c>
      <c r="P65" s="761" t="str">
        <f>IF($C65=0,"",SUMIFS(INPUT_DATA!BF:BF,INPUT_DATA!$A:$A,$C65,INPUT_DATA!$C:$C,"S"))</f>
        <v/>
      </c>
      <c r="Q65" s="767" t="str">
        <f t="shared" si="5"/>
        <v/>
      </c>
      <c r="R65" s="769" t="str">
        <f>IF($C65=0,"",SUMIFS(INPUT_DATA!BH:BH,INPUT_DATA!$A:$A,$C65,INPUT_DATA!$C:$C,"S"))</f>
        <v/>
      </c>
      <c r="S65" s="769" t="str">
        <f>IF($C65=0,"",SUMIFS(INPUT_DATA!BI:BI,INPUT_DATA!$A:$A,$C65,INPUT_DATA!$C:$C,"S"))</f>
        <v/>
      </c>
      <c r="T65" s="767" t="str">
        <f t="shared" si="6"/>
        <v/>
      </c>
      <c r="U65" s="772" t="str">
        <f>IF($C65=0,"",SUMIFS(INPUT_DATA!BL:BL,INPUT_DATA!$A:$A,$C65,INPUT_DATA!$C:$C,"S"))</f>
        <v/>
      </c>
      <c r="V65" s="155" t="str">
        <f t="shared" si="1"/>
        <v/>
      </c>
      <c r="W65" s="149"/>
      <c r="X65" s="749" t="str">
        <f>IF($C65=0,"",SUMIFS(INPUT_DATA!AU:AU,INPUT_DATA!$A:$A,$C65,INPUT_DATA!$C:$C,"D"))</f>
        <v/>
      </c>
      <c r="Y65" s="761" t="str">
        <f>IF($C65=0,"",SUMIFS(INPUT_DATA!AV:AV,INPUT_DATA!$A:$A,$C65,INPUT_DATA!$C:$C,"D"))</f>
        <v/>
      </c>
      <c r="Z65" s="761" t="str">
        <f>IF($C65=0,"",SUMIFS(INPUT_DATA!AW:AW,INPUT_DATA!$A:$A,$C65,INPUT_DATA!$C:$C,"D"))</f>
        <v/>
      </c>
      <c r="AA65" s="762" t="str">
        <f t="shared" si="2"/>
        <v/>
      </c>
      <c r="AB65" s="761" t="str">
        <f>IF($C65=0,"",SUMIFS(INPUT_DATA!AX:AX,INPUT_DATA!$A:$A,$C65,INPUT_DATA!$C:$C,"D"))</f>
        <v/>
      </c>
      <c r="AC65" s="761" t="str">
        <f>IF($C65=0,"",SUMIFS(INPUT_DATA!AY:AY,INPUT_DATA!$A:$A,$C65,INPUT_DATA!$C:$C,"D"))</f>
        <v/>
      </c>
      <c r="AD65" s="761" t="str">
        <f>IF($C65=0,"",SUMIFS(INPUT_DATA!AZ:AZ,INPUT_DATA!$A:$A,$C65,INPUT_DATA!$C:$C,"D"))</f>
        <v/>
      </c>
      <c r="AE65" s="761" t="str">
        <f>IF($C65=0,"",SUMIFS(INPUT_DATA!BA:BA,INPUT_DATA!$A:$A,$C65,INPUT_DATA!$C:$C,"D"))</f>
        <v/>
      </c>
      <c r="AF65" s="761" t="str">
        <f>IF($C65=0,"",SUMIFS(INPUT_DATA!BB:BB,INPUT_DATA!$A:$A,$C65,INPUT_DATA!$C:$C,"D"))</f>
        <v/>
      </c>
      <c r="AG65" s="761" t="str">
        <f>IF($C65=0,"",SUMIFS(INPUT_DATA!BC:BC,INPUT_DATA!$A:$A,$C65,INPUT_DATA!$C:$C,"D"))</f>
        <v/>
      </c>
      <c r="AH65" s="761" t="str">
        <f>IF($C65=0,"",SUMIFS(INPUT_DATA!BD:BD,INPUT_DATA!$A:$A,$C65,INPUT_DATA!$C:$C,"D"))</f>
        <v/>
      </c>
      <c r="AI65" s="761" t="str">
        <f>IF($C65=0,"",SUMIFS(INPUT_DATA!BE:BE,INPUT_DATA!$A:$A,$C65,INPUT_DATA!$C:$C,"D"))</f>
        <v/>
      </c>
      <c r="AJ65" s="314" t="str">
        <f t="shared" si="3"/>
        <v/>
      </c>
      <c r="AK65" s="769" t="str">
        <f>IF($C65=0,"",SUMIFS(INPUT_DATA!BG:BG,INPUT_DATA!$A:$A,$C65,INPUT_DATA!$C:$C,"D"))</f>
        <v/>
      </c>
      <c r="AL65" s="769" t="str">
        <f>IF($C65=0,"",SUMIFS(INPUT_DATA!BH:BH,INPUT_DATA!$A:$A,$C65,INPUT_DATA!$C:$C,"D"))</f>
        <v/>
      </c>
      <c r="AM65" s="769" t="str">
        <f>IF($C65=0,"",SUMIFS(INPUT_DATA!BI:BI,INPUT_DATA!$A:$A,$C65,INPUT_DATA!$C:$C,"D"))</f>
        <v/>
      </c>
      <c r="AN65" s="767" t="str">
        <f t="shared" si="7"/>
        <v/>
      </c>
      <c r="AO65" s="772" t="str">
        <f>IF($C65=0,"",SUMIFS(INPUT_DATA!BK:BK,INPUT_DATA!$A:$A,$C65,INPUT_DATA!$C:$C,"D"))</f>
        <v/>
      </c>
      <c r="AP65" s="354" t="str">
        <f t="shared" si="8"/>
        <v/>
      </c>
      <c r="AQ65" s="149"/>
      <c r="AS65" s="354" t="str">
        <f t="shared" si="9"/>
        <v/>
      </c>
      <c r="AU65" s="378" t="str">
        <f>IF($C65=0,"",'03 - Monthly Asset Follow up'!E69+'03 - Monthly Asset Follow up'!F69-'03 - Monthly Asset Follow up'!U69+'03 - Monthly Asset Follow up'!X69-H65)</f>
        <v/>
      </c>
      <c r="AV65" s="378" t="str">
        <f>IF($C65=0,"",'03 - Monthly Asset Follow up'!BD69+'03 - Monthly Asset Follow up'!BE69-'03 - Monthly Asset Follow up'!BT69+'03 - Monthly Asset Follow up'!BW69-AA65)</f>
        <v/>
      </c>
      <c r="AX65" s="154"/>
    </row>
    <row r="66" spans="2:50" x14ac:dyDescent="0.2">
      <c r="B66" s="753" t="str">
        <f t="shared" si="4"/>
        <v/>
      </c>
      <c r="C66" s="756">
        <f>'03 - Monthly Asset Follow up'!B70</f>
        <v>0</v>
      </c>
      <c r="D66" s="149"/>
      <c r="E66" s="749" t="str">
        <f>IF($C66=0,"",SUMIFS(INPUT_DATA!AU:AU,INPUT_DATA!$A:$A,$C66,INPUT_DATA!$C:$C,"S"))</f>
        <v/>
      </c>
      <c r="F66" s="761" t="str">
        <f>IF($C66=0,"",SUMIFS(INPUT_DATA!AV:AV,INPUT_DATA!$A:$A,$C66,INPUT_DATA!$C:$C,"S"))</f>
        <v/>
      </c>
      <c r="G66" s="761" t="str">
        <f>IF($C66=0,"",SUMIFS(INPUT_DATA!AW:AW,INPUT_DATA!$A:$A,$C66,INPUT_DATA!$C:$C,"S"))</f>
        <v/>
      </c>
      <c r="H66" s="763" t="str">
        <f t="shared" si="0"/>
        <v/>
      </c>
      <c r="I66" s="761" t="str">
        <f>IF($C66=0,"",SUMIFS(INPUT_DATA!AY:AY,INPUT_DATA!$A:$A,$C66,INPUT_DATA!$C:$C,"S"))</f>
        <v/>
      </c>
      <c r="J66" s="761" t="str">
        <f>IF($C66=0,"",SUMIFS(INPUT_DATA!AZ:AZ,INPUT_DATA!$A:$A,$C66,INPUT_DATA!$C:$C,"S"))</f>
        <v/>
      </c>
      <c r="K66" s="761" t="str">
        <f>IF($C66=0,"",SUMIFS(INPUT_DATA!BA:BA,INPUT_DATA!$A:$A,$C66,INPUT_DATA!$C:$C,"S"))</f>
        <v/>
      </c>
      <c r="L66" s="761" t="str">
        <f>IF($C66=0,"",SUMIFS(INPUT_DATA!BB:BB,INPUT_DATA!$A:$A,$C66,INPUT_DATA!$C:$C,"S"))</f>
        <v/>
      </c>
      <c r="M66" s="761" t="str">
        <f>IF($C66=0,"",SUMIFS(INPUT_DATA!BC:BC,INPUT_DATA!$A:$A,$C66,INPUT_DATA!$C:$C,"S"))</f>
        <v/>
      </c>
      <c r="N66" s="761" t="str">
        <f>IF($C66=0,"",SUMIFS(INPUT_DATA!BD:BD,INPUT_DATA!$A:$A,$C66,INPUT_DATA!$C:$C,"S"))</f>
        <v/>
      </c>
      <c r="O66" s="761" t="str">
        <f>IF($C66=0,"",SUMIFS(INPUT_DATA!BE:BE,INPUT_DATA!$A:$A,$C66,INPUT_DATA!$C:$C,"S"))</f>
        <v/>
      </c>
      <c r="P66" s="761" t="str">
        <f>IF($C66=0,"",SUMIFS(INPUT_DATA!BF:BF,INPUT_DATA!$A:$A,$C66,INPUT_DATA!$C:$C,"S"))</f>
        <v/>
      </c>
      <c r="Q66" s="767" t="str">
        <f t="shared" si="5"/>
        <v/>
      </c>
      <c r="R66" s="769" t="str">
        <f>IF($C66=0,"",SUMIFS(INPUT_DATA!BH:BH,INPUT_DATA!$A:$A,$C66,INPUT_DATA!$C:$C,"S"))</f>
        <v/>
      </c>
      <c r="S66" s="769" t="str">
        <f>IF($C66=0,"",SUMIFS(INPUT_DATA!BI:BI,INPUT_DATA!$A:$A,$C66,INPUT_DATA!$C:$C,"S"))</f>
        <v/>
      </c>
      <c r="T66" s="767" t="str">
        <f t="shared" si="6"/>
        <v/>
      </c>
      <c r="U66" s="772" t="str">
        <f>IF($C66=0,"",SUMIFS(INPUT_DATA!BL:BL,INPUT_DATA!$A:$A,$C66,INPUT_DATA!$C:$C,"S"))</f>
        <v/>
      </c>
      <c r="V66" s="155" t="str">
        <f t="shared" si="1"/>
        <v/>
      </c>
      <c r="W66" s="149"/>
      <c r="X66" s="749" t="str">
        <f>IF($C66=0,"",SUMIFS(INPUT_DATA!AU:AU,INPUT_DATA!$A:$A,$C66,INPUT_DATA!$C:$C,"D"))</f>
        <v/>
      </c>
      <c r="Y66" s="761" t="str">
        <f>IF($C66=0,"",SUMIFS(INPUT_DATA!AV:AV,INPUT_DATA!$A:$A,$C66,INPUT_DATA!$C:$C,"D"))</f>
        <v/>
      </c>
      <c r="Z66" s="761" t="str">
        <f>IF($C66=0,"",SUMIFS(INPUT_DATA!AW:AW,INPUT_DATA!$A:$A,$C66,INPUT_DATA!$C:$C,"D"))</f>
        <v/>
      </c>
      <c r="AA66" s="762" t="str">
        <f t="shared" si="2"/>
        <v/>
      </c>
      <c r="AB66" s="761" t="str">
        <f>IF($C66=0,"",SUMIFS(INPUT_DATA!AX:AX,INPUT_DATA!$A:$A,$C66,INPUT_DATA!$C:$C,"D"))</f>
        <v/>
      </c>
      <c r="AC66" s="761" t="str">
        <f>IF($C66=0,"",SUMIFS(INPUT_DATA!AY:AY,INPUT_DATA!$A:$A,$C66,INPUT_DATA!$C:$C,"D"))</f>
        <v/>
      </c>
      <c r="AD66" s="761" t="str">
        <f>IF($C66=0,"",SUMIFS(INPUT_DATA!AZ:AZ,INPUT_DATA!$A:$A,$C66,INPUT_DATA!$C:$C,"D"))</f>
        <v/>
      </c>
      <c r="AE66" s="761" t="str">
        <f>IF($C66=0,"",SUMIFS(INPUT_DATA!BA:BA,INPUT_DATA!$A:$A,$C66,INPUT_DATA!$C:$C,"D"))</f>
        <v/>
      </c>
      <c r="AF66" s="761" t="str">
        <f>IF($C66=0,"",SUMIFS(INPUT_DATA!BB:BB,INPUT_DATA!$A:$A,$C66,INPUT_DATA!$C:$C,"D"))</f>
        <v/>
      </c>
      <c r="AG66" s="761" t="str">
        <f>IF($C66=0,"",SUMIFS(INPUT_DATA!BC:BC,INPUT_DATA!$A:$A,$C66,INPUT_DATA!$C:$C,"D"))</f>
        <v/>
      </c>
      <c r="AH66" s="761" t="str">
        <f>IF($C66=0,"",SUMIFS(INPUT_DATA!BD:BD,INPUT_DATA!$A:$A,$C66,INPUT_DATA!$C:$C,"D"))</f>
        <v/>
      </c>
      <c r="AI66" s="761" t="str">
        <f>IF($C66=0,"",SUMIFS(INPUT_DATA!BE:BE,INPUT_DATA!$A:$A,$C66,INPUT_DATA!$C:$C,"D"))</f>
        <v/>
      </c>
      <c r="AJ66" s="314" t="str">
        <f t="shared" si="3"/>
        <v/>
      </c>
      <c r="AK66" s="769" t="str">
        <f>IF($C66=0,"",SUMIFS(INPUT_DATA!BG:BG,INPUT_DATA!$A:$A,$C66,INPUT_DATA!$C:$C,"D"))</f>
        <v/>
      </c>
      <c r="AL66" s="769" t="str">
        <f>IF($C66=0,"",SUMIFS(INPUT_DATA!BH:BH,INPUT_DATA!$A:$A,$C66,INPUT_DATA!$C:$C,"D"))</f>
        <v/>
      </c>
      <c r="AM66" s="769" t="str">
        <f>IF($C66=0,"",SUMIFS(INPUT_DATA!BI:BI,INPUT_DATA!$A:$A,$C66,INPUT_DATA!$C:$C,"D"))</f>
        <v/>
      </c>
      <c r="AN66" s="767" t="str">
        <f t="shared" si="7"/>
        <v/>
      </c>
      <c r="AO66" s="772" t="str">
        <f>IF($C66=0,"",SUMIFS(INPUT_DATA!BK:BK,INPUT_DATA!$A:$A,$C66,INPUT_DATA!$C:$C,"D"))</f>
        <v/>
      </c>
      <c r="AP66" s="354" t="str">
        <f t="shared" si="8"/>
        <v/>
      </c>
      <c r="AQ66" s="149"/>
      <c r="AS66" s="354" t="str">
        <f t="shared" si="9"/>
        <v/>
      </c>
      <c r="AU66" s="378" t="str">
        <f>IF($C66=0,"",'03 - Monthly Asset Follow up'!E70+'03 - Monthly Asset Follow up'!F70-'03 - Monthly Asset Follow up'!U70+'03 - Monthly Asset Follow up'!X70-H66)</f>
        <v/>
      </c>
      <c r="AV66" s="378" t="str">
        <f>IF($C66=0,"",'03 - Monthly Asset Follow up'!BD70+'03 - Monthly Asset Follow up'!BE70-'03 - Monthly Asset Follow up'!BT70+'03 - Monthly Asset Follow up'!BW70-AA66)</f>
        <v/>
      </c>
      <c r="AX66" s="154"/>
    </row>
    <row r="67" spans="2:50" x14ac:dyDescent="0.2">
      <c r="B67" s="753" t="str">
        <f t="shared" si="4"/>
        <v/>
      </c>
      <c r="C67" s="756">
        <f>'03 - Monthly Asset Follow up'!B71</f>
        <v>0</v>
      </c>
      <c r="D67" s="149"/>
      <c r="E67" s="749" t="str">
        <f>IF($C67=0,"",SUMIFS(INPUT_DATA!AU:AU,INPUT_DATA!$A:$A,$C67,INPUT_DATA!$C:$C,"S"))</f>
        <v/>
      </c>
      <c r="F67" s="761" t="str">
        <f>IF($C67=0,"",SUMIFS(INPUT_DATA!AV:AV,INPUT_DATA!$A:$A,$C67,INPUT_DATA!$C:$C,"S"))</f>
        <v/>
      </c>
      <c r="G67" s="761" t="str">
        <f>IF($C67=0,"",SUMIFS(INPUT_DATA!AW:AW,INPUT_DATA!$A:$A,$C67,INPUT_DATA!$C:$C,"S"))</f>
        <v/>
      </c>
      <c r="H67" s="763" t="str">
        <f t="shared" si="0"/>
        <v/>
      </c>
      <c r="I67" s="761" t="str">
        <f>IF($C67=0,"",SUMIFS(INPUT_DATA!AY:AY,INPUT_DATA!$A:$A,$C67,INPUT_DATA!$C:$C,"S"))</f>
        <v/>
      </c>
      <c r="J67" s="761" t="str">
        <f>IF($C67=0,"",SUMIFS(INPUT_DATA!AZ:AZ,INPUT_DATA!$A:$A,$C67,INPUT_DATA!$C:$C,"S"))</f>
        <v/>
      </c>
      <c r="K67" s="761" t="str">
        <f>IF($C67=0,"",SUMIFS(INPUT_DATA!BA:BA,INPUT_DATA!$A:$A,$C67,INPUT_DATA!$C:$C,"S"))</f>
        <v/>
      </c>
      <c r="L67" s="761" t="str">
        <f>IF($C67=0,"",SUMIFS(INPUT_DATA!BB:BB,INPUT_DATA!$A:$A,$C67,INPUT_DATA!$C:$C,"S"))</f>
        <v/>
      </c>
      <c r="M67" s="761" t="str">
        <f>IF($C67=0,"",SUMIFS(INPUT_DATA!BC:BC,INPUT_DATA!$A:$A,$C67,INPUT_DATA!$C:$C,"S"))</f>
        <v/>
      </c>
      <c r="N67" s="761" t="str">
        <f>IF($C67=0,"",SUMIFS(INPUT_DATA!BD:BD,INPUT_DATA!$A:$A,$C67,INPUT_DATA!$C:$C,"S"))</f>
        <v/>
      </c>
      <c r="O67" s="761" t="str">
        <f>IF($C67=0,"",SUMIFS(INPUT_DATA!BE:BE,INPUT_DATA!$A:$A,$C67,INPUT_DATA!$C:$C,"S"))</f>
        <v/>
      </c>
      <c r="P67" s="761" t="str">
        <f>IF($C67=0,"",SUMIFS(INPUT_DATA!BF:BF,INPUT_DATA!$A:$A,$C67,INPUT_DATA!$C:$C,"S"))</f>
        <v/>
      </c>
      <c r="Q67" s="767" t="str">
        <f t="shared" si="5"/>
        <v/>
      </c>
      <c r="R67" s="769" t="str">
        <f>IF($C67=0,"",SUMIFS(INPUT_DATA!BH:BH,INPUT_DATA!$A:$A,$C67,INPUT_DATA!$C:$C,"S"))</f>
        <v/>
      </c>
      <c r="S67" s="769" t="str">
        <f>IF($C67=0,"",SUMIFS(INPUT_DATA!BI:BI,INPUT_DATA!$A:$A,$C67,INPUT_DATA!$C:$C,"S"))</f>
        <v/>
      </c>
      <c r="T67" s="767" t="str">
        <f t="shared" si="6"/>
        <v/>
      </c>
      <c r="U67" s="772" t="str">
        <f>IF($C67=0,"",SUMIFS(INPUT_DATA!BL:BL,INPUT_DATA!$A:$A,$C67,INPUT_DATA!$C:$C,"S"))</f>
        <v/>
      </c>
      <c r="V67" s="155" t="str">
        <f t="shared" si="1"/>
        <v/>
      </c>
      <c r="W67" s="149"/>
      <c r="X67" s="749" t="str">
        <f>IF($C67=0,"",SUMIFS(INPUT_DATA!AU:AU,INPUT_DATA!$A:$A,$C67,INPUT_DATA!$C:$C,"D"))</f>
        <v/>
      </c>
      <c r="Y67" s="761" t="str">
        <f>IF($C67=0,"",SUMIFS(INPUT_DATA!AV:AV,INPUT_DATA!$A:$A,$C67,INPUT_DATA!$C:$C,"D"))</f>
        <v/>
      </c>
      <c r="Z67" s="761" t="str">
        <f>IF($C67=0,"",SUMIFS(INPUT_DATA!AW:AW,INPUT_DATA!$A:$A,$C67,INPUT_DATA!$C:$C,"D"))</f>
        <v/>
      </c>
      <c r="AA67" s="762" t="str">
        <f t="shared" si="2"/>
        <v/>
      </c>
      <c r="AB67" s="761" t="str">
        <f>IF($C67=0,"",SUMIFS(INPUT_DATA!AX:AX,INPUT_DATA!$A:$A,$C67,INPUT_DATA!$C:$C,"D"))</f>
        <v/>
      </c>
      <c r="AC67" s="761" t="str">
        <f>IF($C67=0,"",SUMIFS(INPUT_DATA!AY:AY,INPUT_DATA!$A:$A,$C67,INPUT_DATA!$C:$C,"D"))</f>
        <v/>
      </c>
      <c r="AD67" s="761" t="str">
        <f>IF($C67=0,"",SUMIFS(INPUT_DATA!AZ:AZ,INPUT_DATA!$A:$A,$C67,INPUT_DATA!$C:$C,"D"))</f>
        <v/>
      </c>
      <c r="AE67" s="761" t="str">
        <f>IF($C67=0,"",SUMIFS(INPUT_DATA!BA:BA,INPUT_DATA!$A:$A,$C67,INPUT_DATA!$C:$C,"D"))</f>
        <v/>
      </c>
      <c r="AF67" s="761" t="str">
        <f>IF($C67=0,"",SUMIFS(INPUT_DATA!BB:BB,INPUT_DATA!$A:$A,$C67,INPUT_DATA!$C:$C,"D"))</f>
        <v/>
      </c>
      <c r="AG67" s="761" t="str">
        <f>IF($C67=0,"",SUMIFS(INPUT_DATA!BC:BC,INPUT_DATA!$A:$A,$C67,INPUT_DATA!$C:$C,"D"))</f>
        <v/>
      </c>
      <c r="AH67" s="761" t="str">
        <f>IF($C67=0,"",SUMIFS(INPUT_DATA!BD:BD,INPUT_DATA!$A:$A,$C67,INPUT_DATA!$C:$C,"D"))</f>
        <v/>
      </c>
      <c r="AI67" s="761" t="str">
        <f>IF($C67=0,"",SUMIFS(INPUT_DATA!BE:BE,INPUT_DATA!$A:$A,$C67,INPUT_DATA!$C:$C,"D"))</f>
        <v/>
      </c>
      <c r="AJ67" s="314" t="str">
        <f t="shared" si="3"/>
        <v/>
      </c>
      <c r="AK67" s="769" t="str">
        <f>IF($C67=0,"",SUMIFS(INPUT_DATA!BG:BG,INPUT_DATA!$A:$A,$C67,INPUT_DATA!$C:$C,"D"))</f>
        <v/>
      </c>
      <c r="AL67" s="769" t="str">
        <f>IF($C67=0,"",SUMIFS(INPUT_DATA!BH:BH,INPUT_DATA!$A:$A,$C67,INPUT_DATA!$C:$C,"D"))</f>
        <v/>
      </c>
      <c r="AM67" s="769" t="str">
        <f>IF($C67=0,"",SUMIFS(INPUT_DATA!BI:BI,INPUT_DATA!$A:$A,$C67,INPUT_DATA!$C:$C,"D"))</f>
        <v/>
      </c>
      <c r="AN67" s="767" t="str">
        <f t="shared" si="7"/>
        <v/>
      </c>
      <c r="AO67" s="772" t="str">
        <f>IF($C67=0,"",SUMIFS(INPUT_DATA!BK:BK,INPUT_DATA!$A:$A,$C67,INPUT_DATA!$C:$C,"D"))</f>
        <v/>
      </c>
      <c r="AP67" s="354" t="str">
        <f t="shared" si="8"/>
        <v/>
      </c>
      <c r="AQ67" s="149"/>
      <c r="AS67" s="354" t="str">
        <f t="shared" si="9"/>
        <v/>
      </c>
      <c r="AU67" s="378" t="str">
        <f>IF($C67=0,"",'03 - Monthly Asset Follow up'!E71+'03 - Monthly Asset Follow up'!F71-'03 - Monthly Asset Follow up'!U71+'03 - Monthly Asset Follow up'!X71-H67)</f>
        <v/>
      </c>
      <c r="AV67" s="378" t="str">
        <f>IF($C67=0,"",'03 - Monthly Asset Follow up'!BD71+'03 - Monthly Asset Follow up'!BE71-'03 - Monthly Asset Follow up'!BT71+'03 - Monthly Asset Follow up'!BW71-AA67)</f>
        <v/>
      </c>
      <c r="AX67" s="154"/>
    </row>
    <row r="68" spans="2:50" x14ac:dyDescent="0.2">
      <c r="B68" s="753" t="str">
        <f t="shared" si="4"/>
        <v/>
      </c>
      <c r="C68" s="756">
        <f>'03 - Monthly Asset Follow up'!B72</f>
        <v>0</v>
      </c>
      <c r="D68" s="149"/>
      <c r="E68" s="749" t="str">
        <f>IF($C68=0,"",SUMIFS(INPUT_DATA!AU:AU,INPUT_DATA!$A:$A,$C68,INPUT_DATA!$C:$C,"S"))</f>
        <v/>
      </c>
      <c r="F68" s="761" t="str">
        <f>IF($C68=0,"",SUMIFS(INPUT_DATA!AV:AV,INPUT_DATA!$A:$A,$C68,INPUT_DATA!$C:$C,"S"))</f>
        <v/>
      </c>
      <c r="G68" s="761" t="str">
        <f>IF($C68=0,"",SUMIFS(INPUT_DATA!AW:AW,INPUT_DATA!$A:$A,$C68,INPUT_DATA!$C:$C,"S"))</f>
        <v/>
      </c>
      <c r="H68" s="763" t="str">
        <f t="shared" si="0"/>
        <v/>
      </c>
      <c r="I68" s="761" t="str">
        <f>IF($C68=0,"",SUMIFS(INPUT_DATA!AY:AY,INPUT_DATA!$A:$A,$C68,INPUT_DATA!$C:$C,"S"))</f>
        <v/>
      </c>
      <c r="J68" s="761" t="str">
        <f>IF($C68=0,"",SUMIFS(INPUT_DATA!AZ:AZ,INPUT_DATA!$A:$A,$C68,INPUT_DATA!$C:$C,"S"))</f>
        <v/>
      </c>
      <c r="K68" s="761" t="str">
        <f>IF($C68=0,"",SUMIFS(INPUT_DATA!BA:BA,INPUT_DATA!$A:$A,$C68,INPUT_DATA!$C:$C,"S"))</f>
        <v/>
      </c>
      <c r="L68" s="761" t="str">
        <f>IF($C68=0,"",SUMIFS(INPUT_DATA!BB:BB,INPUT_DATA!$A:$A,$C68,INPUT_DATA!$C:$C,"S"))</f>
        <v/>
      </c>
      <c r="M68" s="761" t="str">
        <f>IF($C68=0,"",SUMIFS(INPUT_DATA!BC:BC,INPUT_DATA!$A:$A,$C68,INPUT_DATA!$C:$C,"S"))</f>
        <v/>
      </c>
      <c r="N68" s="761" t="str">
        <f>IF($C68=0,"",SUMIFS(INPUT_DATA!BD:BD,INPUT_DATA!$A:$A,$C68,INPUT_DATA!$C:$C,"S"))</f>
        <v/>
      </c>
      <c r="O68" s="761" t="str">
        <f>IF($C68=0,"",SUMIFS(INPUT_DATA!BE:BE,INPUT_DATA!$A:$A,$C68,INPUT_DATA!$C:$C,"S"))</f>
        <v/>
      </c>
      <c r="P68" s="761" t="str">
        <f>IF($C68=0,"",SUMIFS(INPUT_DATA!BF:BF,INPUT_DATA!$A:$A,$C68,INPUT_DATA!$C:$C,"S"))</f>
        <v/>
      </c>
      <c r="Q68" s="767" t="str">
        <f t="shared" si="5"/>
        <v/>
      </c>
      <c r="R68" s="769" t="str">
        <f>IF($C68=0,"",SUMIFS(INPUT_DATA!BH:BH,INPUT_DATA!$A:$A,$C68,INPUT_DATA!$C:$C,"S"))</f>
        <v/>
      </c>
      <c r="S68" s="769" t="str">
        <f>IF($C68=0,"",SUMIFS(INPUT_DATA!BI:BI,INPUT_DATA!$A:$A,$C68,INPUT_DATA!$C:$C,"S"))</f>
        <v/>
      </c>
      <c r="T68" s="767" t="str">
        <f t="shared" si="6"/>
        <v/>
      </c>
      <c r="U68" s="772" t="str">
        <f>IF($C68=0,"",SUMIFS(INPUT_DATA!BL:BL,INPUT_DATA!$A:$A,$C68,INPUT_DATA!$C:$C,"S"))</f>
        <v/>
      </c>
      <c r="V68" s="155" t="str">
        <f t="shared" si="1"/>
        <v/>
      </c>
      <c r="W68" s="149"/>
      <c r="X68" s="749" t="str">
        <f>IF($C68=0,"",SUMIFS(INPUT_DATA!AU:AU,INPUT_DATA!$A:$A,$C68,INPUT_DATA!$C:$C,"D"))</f>
        <v/>
      </c>
      <c r="Y68" s="761" t="str">
        <f>IF($C68=0,"",SUMIFS(INPUT_DATA!AV:AV,INPUT_DATA!$A:$A,$C68,INPUT_DATA!$C:$C,"D"))</f>
        <v/>
      </c>
      <c r="Z68" s="761" t="str">
        <f>IF($C68=0,"",SUMIFS(INPUT_DATA!AW:AW,INPUT_DATA!$A:$A,$C68,INPUT_DATA!$C:$C,"D"))</f>
        <v/>
      </c>
      <c r="AA68" s="762" t="str">
        <f t="shared" si="2"/>
        <v/>
      </c>
      <c r="AB68" s="761" t="str">
        <f>IF($C68=0,"",SUMIFS(INPUT_DATA!AX:AX,INPUT_DATA!$A:$A,$C68,INPUT_DATA!$C:$C,"D"))</f>
        <v/>
      </c>
      <c r="AC68" s="761" t="str">
        <f>IF($C68=0,"",SUMIFS(INPUT_DATA!AY:AY,INPUT_DATA!$A:$A,$C68,INPUT_DATA!$C:$C,"D"))</f>
        <v/>
      </c>
      <c r="AD68" s="761" t="str">
        <f>IF($C68=0,"",SUMIFS(INPUT_DATA!AZ:AZ,INPUT_DATA!$A:$A,$C68,INPUT_DATA!$C:$C,"D"))</f>
        <v/>
      </c>
      <c r="AE68" s="761" t="str">
        <f>IF($C68=0,"",SUMIFS(INPUT_DATA!BA:BA,INPUT_DATA!$A:$A,$C68,INPUT_DATA!$C:$C,"D"))</f>
        <v/>
      </c>
      <c r="AF68" s="761" t="str">
        <f>IF($C68=0,"",SUMIFS(INPUT_DATA!BB:BB,INPUT_DATA!$A:$A,$C68,INPUT_DATA!$C:$C,"D"))</f>
        <v/>
      </c>
      <c r="AG68" s="761" t="str">
        <f>IF($C68=0,"",SUMIFS(INPUT_DATA!BC:BC,INPUT_DATA!$A:$A,$C68,INPUT_DATA!$C:$C,"D"))</f>
        <v/>
      </c>
      <c r="AH68" s="761" t="str">
        <f>IF($C68=0,"",SUMIFS(INPUT_DATA!BD:BD,INPUT_DATA!$A:$A,$C68,INPUT_DATA!$C:$C,"D"))</f>
        <v/>
      </c>
      <c r="AI68" s="761" t="str">
        <f>IF($C68=0,"",SUMIFS(INPUT_DATA!BE:BE,INPUT_DATA!$A:$A,$C68,INPUT_DATA!$C:$C,"D"))</f>
        <v/>
      </c>
      <c r="AJ68" s="314" t="str">
        <f t="shared" si="3"/>
        <v/>
      </c>
      <c r="AK68" s="769" t="str">
        <f>IF($C68=0,"",SUMIFS(INPUT_DATA!BG:BG,INPUT_DATA!$A:$A,$C68,INPUT_DATA!$C:$C,"D"))</f>
        <v/>
      </c>
      <c r="AL68" s="769" t="str">
        <f>IF($C68=0,"",SUMIFS(INPUT_DATA!BH:BH,INPUT_DATA!$A:$A,$C68,INPUT_DATA!$C:$C,"D"))</f>
        <v/>
      </c>
      <c r="AM68" s="769" t="str">
        <f>IF($C68=0,"",SUMIFS(INPUT_DATA!BI:BI,INPUT_DATA!$A:$A,$C68,INPUT_DATA!$C:$C,"D"))</f>
        <v/>
      </c>
      <c r="AN68" s="767" t="str">
        <f t="shared" si="7"/>
        <v/>
      </c>
      <c r="AO68" s="772" t="str">
        <f>IF($C68=0,"",SUMIFS(INPUT_DATA!BK:BK,INPUT_DATA!$A:$A,$C68,INPUT_DATA!$C:$C,"D"))</f>
        <v/>
      </c>
      <c r="AP68" s="354" t="str">
        <f t="shared" si="8"/>
        <v/>
      </c>
      <c r="AQ68" s="149"/>
      <c r="AS68" s="354" t="str">
        <f t="shared" si="9"/>
        <v/>
      </c>
      <c r="AU68" s="378" t="str">
        <f>IF($C68=0,"",'03 - Monthly Asset Follow up'!E72+'03 - Monthly Asset Follow up'!F72-'03 - Monthly Asset Follow up'!U72+'03 - Monthly Asset Follow up'!X72-H68)</f>
        <v/>
      </c>
      <c r="AV68" s="378" t="str">
        <f>IF($C68=0,"",'03 - Monthly Asset Follow up'!BD72+'03 - Monthly Asset Follow up'!BE72-'03 - Monthly Asset Follow up'!BT72+'03 - Monthly Asset Follow up'!BW72-AA68)</f>
        <v/>
      </c>
      <c r="AX68" s="154"/>
    </row>
    <row r="69" spans="2:50" x14ac:dyDescent="0.2">
      <c r="B69" s="753" t="str">
        <f t="shared" si="4"/>
        <v/>
      </c>
      <c r="C69" s="756">
        <f>'03 - Monthly Asset Follow up'!B73</f>
        <v>0</v>
      </c>
      <c r="D69" s="149"/>
      <c r="E69" s="749" t="str">
        <f>IF($C69=0,"",SUMIFS(INPUT_DATA!AU:AU,INPUT_DATA!$A:$A,$C69,INPUT_DATA!$C:$C,"S"))</f>
        <v/>
      </c>
      <c r="F69" s="761" t="str">
        <f>IF($C69=0,"",SUMIFS(INPUT_DATA!AV:AV,INPUT_DATA!$A:$A,$C69,INPUT_DATA!$C:$C,"S"))</f>
        <v/>
      </c>
      <c r="G69" s="761" t="str">
        <f>IF($C69=0,"",SUMIFS(INPUT_DATA!AW:AW,INPUT_DATA!$A:$A,$C69,INPUT_DATA!$C:$C,"S"))</f>
        <v/>
      </c>
      <c r="H69" s="763" t="str">
        <f t="shared" si="0"/>
        <v/>
      </c>
      <c r="I69" s="761" t="str">
        <f>IF($C69=0,"",SUMIFS(INPUT_DATA!AY:AY,INPUT_DATA!$A:$A,$C69,INPUT_DATA!$C:$C,"S"))</f>
        <v/>
      </c>
      <c r="J69" s="761" t="str">
        <f>IF($C69=0,"",SUMIFS(INPUT_DATA!AZ:AZ,INPUT_DATA!$A:$A,$C69,INPUT_DATA!$C:$C,"S"))</f>
        <v/>
      </c>
      <c r="K69" s="761" t="str">
        <f>IF($C69=0,"",SUMIFS(INPUT_DATA!BA:BA,INPUT_DATA!$A:$A,$C69,INPUT_DATA!$C:$C,"S"))</f>
        <v/>
      </c>
      <c r="L69" s="761" t="str">
        <f>IF($C69=0,"",SUMIFS(INPUT_DATA!BB:BB,INPUT_DATA!$A:$A,$C69,INPUT_DATA!$C:$C,"S"))</f>
        <v/>
      </c>
      <c r="M69" s="761" t="str">
        <f>IF($C69=0,"",SUMIFS(INPUT_DATA!BC:BC,INPUT_DATA!$A:$A,$C69,INPUT_DATA!$C:$C,"S"))</f>
        <v/>
      </c>
      <c r="N69" s="761" t="str">
        <f>IF($C69=0,"",SUMIFS(INPUT_DATA!BD:BD,INPUT_DATA!$A:$A,$C69,INPUT_DATA!$C:$C,"S"))</f>
        <v/>
      </c>
      <c r="O69" s="761" t="str">
        <f>IF($C69=0,"",SUMIFS(INPUT_DATA!BE:BE,INPUT_DATA!$A:$A,$C69,INPUT_DATA!$C:$C,"S"))</f>
        <v/>
      </c>
      <c r="P69" s="761" t="str">
        <f>IF($C69=0,"",SUMIFS(INPUT_DATA!BF:BF,INPUT_DATA!$A:$A,$C69,INPUT_DATA!$C:$C,"S"))</f>
        <v/>
      </c>
      <c r="Q69" s="767" t="str">
        <f t="shared" si="5"/>
        <v/>
      </c>
      <c r="R69" s="769" t="str">
        <f>IF($C69=0,"",SUMIFS(INPUT_DATA!BH:BH,INPUT_DATA!$A:$A,$C69,INPUT_DATA!$C:$C,"S"))</f>
        <v/>
      </c>
      <c r="S69" s="769" t="str">
        <f>IF($C69=0,"",SUMIFS(INPUT_DATA!BI:BI,INPUT_DATA!$A:$A,$C69,INPUT_DATA!$C:$C,"S"))</f>
        <v/>
      </c>
      <c r="T69" s="767" t="str">
        <f t="shared" si="6"/>
        <v/>
      </c>
      <c r="U69" s="772" t="str">
        <f>IF($C69=0,"",SUMIFS(INPUT_DATA!BL:BL,INPUT_DATA!$A:$A,$C69,INPUT_DATA!$C:$C,"S"))</f>
        <v/>
      </c>
      <c r="V69" s="155" t="str">
        <f t="shared" si="1"/>
        <v/>
      </c>
      <c r="W69" s="149"/>
      <c r="X69" s="749" t="str">
        <f>IF($C69=0,"",SUMIFS(INPUT_DATA!AU:AU,INPUT_DATA!$A:$A,$C69,INPUT_DATA!$C:$C,"D"))</f>
        <v/>
      </c>
      <c r="Y69" s="761" t="str">
        <f>IF($C69=0,"",SUMIFS(INPUT_DATA!AV:AV,INPUT_DATA!$A:$A,$C69,INPUT_DATA!$C:$C,"D"))</f>
        <v/>
      </c>
      <c r="Z69" s="761" t="str">
        <f>IF($C69=0,"",SUMIFS(INPUT_DATA!AW:AW,INPUT_DATA!$A:$A,$C69,INPUT_DATA!$C:$C,"D"))</f>
        <v/>
      </c>
      <c r="AA69" s="762" t="str">
        <f t="shared" si="2"/>
        <v/>
      </c>
      <c r="AB69" s="761" t="str">
        <f>IF($C69=0,"",SUMIFS(INPUT_DATA!AX:AX,INPUT_DATA!$A:$A,$C69,INPUT_DATA!$C:$C,"D"))</f>
        <v/>
      </c>
      <c r="AC69" s="761" t="str">
        <f>IF($C69=0,"",SUMIFS(INPUT_DATA!AY:AY,INPUT_DATA!$A:$A,$C69,INPUT_DATA!$C:$C,"D"))</f>
        <v/>
      </c>
      <c r="AD69" s="761" t="str">
        <f>IF($C69=0,"",SUMIFS(INPUT_DATA!AZ:AZ,INPUT_DATA!$A:$A,$C69,INPUT_DATA!$C:$C,"D"))</f>
        <v/>
      </c>
      <c r="AE69" s="761" t="str">
        <f>IF($C69=0,"",SUMIFS(INPUT_DATA!BA:BA,INPUT_DATA!$A:$A,$C69,INPUT_DATA!$C:$C,"D"))</f>
        <v/>
      </c>
      <c r="AF69" s="761" t="str">
        <f>IF($C69=0,"",SUMIFS(INPUT_DATA!BB:BB,INPUT_DATA!$A:$A,$C69,INPUT_DATA!$C:$C,"D"))</f>
        <v/>
      </c>
      <c r="AG69" s="761" t="str">
        <f>IF($C69=0,"",SUMIFS(INPUT_DATA!BC:BC,INPUT_DATA!$A:$A,$C69,INPUT_DATA!$C:$C,"D"))</f>
        <v/>
      </c>
      <c r="AH69" s="761" t="str">
        <f>IF($C69=0,"",SUMIFS(INPUT_DATA!BD:BD,INPUT_DATA!$A:$A,$C69,INPUT_DATA!$C:$C,"D"))</f>
        <v/>
      </c>
      <c r="AI69" s="761" t="str">
        <f>IF($C69=0,"",SUMIFS(INPUT_DATA!BE:BE,INPUT_DATA!$A:$A,$C69,INPUT_DATA!$C:$C,"D"))</f>
        <v/>
      </c>
      <c r="AJ69" s="314" t="str">
        <f t="shared" si="3"/>
        <v/>
      </c>
      <c r="AK69" s="769" t="str">
        <f>IF($C69=0,"",SUMIFS(INPUT_DATA!BG:BG,INPUT_DATA!$A:$A,$C69,INPUT_DATA!$C:$C,"D"))</f>
        <v/>
      </c>
      <c r="AL69" s="769" t="str">
        <f>IF($C69=0,"",SUMIFS(INPUT_DATA!BH:BH,INPUT_DATA!$A:$A,$C69,INPUT_DATA!$C:$C,"D"))</f>
        <v/>
      </c>
      <c r="AM69" s="769" t="str">
        <f>IF($C69=0,"",SUMIFS(INPUT_DATA!BI:BI,INPUT_DATA!$A:$A,$C69,INPUT_DATA!$C:$C,"D"))</f>
        <v/>
      </c>
      <c r="AN69" s="767" t="str">
        <f t="shared" si="7"/>
        <v/>
      </c>
      <c r="AO69" s="772" t="str">
        <f>IF($C69=0,"",SUMIFS(INPUT_DATA!BK:BK,INPUT_DATA!$A:$A,$C69,INPUT_DATA!$C:$C,"D"))</f>
        <v/>
      </c>
      <c r="AP69" s="354" t="str">
        <f t="shared" si="8"/>
        <v/>
      </c>
      <c r="AQ69" s="149"/>
      <c r="AS69" s="354" t="str">
        <f t="shared" si="9"/>
        <v/>
      </c>
      <c r="AU69" s="378" t="str">
        <f>IF($C69=0,"",'03 - Monthly Asset Follow up'!E73+'03 - Monthly Asset Follow up'!F73-'03 - Monthly Asset Follow up'!U73+'03 - Monthly Asset Follow up'!X73-H69)</f>
        <v/>
      </c>
      <c r="AV69" s="378" t="str">
        <f>IF($C69=0,"",'03 - Monthly Asset Follow up'!BD73+'03 - Monthly Asset Follow up'!BE73-'03 - Monthly Asset Follow up'!BT73+'03 - Monthly Asset Follow up'!BW73-AA69)</f>
        <v/>
      </c>
      <c r="AX69" s="154"/>
    </row>
    <row r="70" spans="2:50" x14ac:dyDescent="0.2">
      <c r="B70" s="753" t="str">
        <f t="shared" si="4"/>
        <v/>
      </c>
      <c r="C70" s="756">
        <f>'03 - Monthly Asset Follow up'!B74</f>
        <v>0</v>
      </c>
      <c r="D70" s="149"/>
      <c r="E70" s="749" t="str">
        <f>IF($C70=0,"",SUMIFS(INPUT_DATA!AU:AU,INPUT_DATA!$A:$A,$C70,INPUT_DATA!$C:$C,"S"))</f>
        <v/>
      </c>
      <c r="F70" s="761" t="str">
        <f>IF($C70=0,"",SUMIFS(INPUT_DATA!AV:AV,INPUT_DATA!$A:$A,$C70,INPUT_DATA!$C:$C,"S"))</f>
        <v/>
      </c>
      <c r="G70" s="761" t="str">
        <f>IF($C70=0,"",SUMIFS(INPUT_DATA!AW:AW,INPUT_DATA!$A:$A,$C70,INPUT_DATA!$C:$C,"S"))</f>
        <v/>
      </c>
      <c r="H70" s="763" t="str">
        <f t="shared" si="0"/>
        <v/>
      </c>
      <c r="I70" s="761" t="str">
        <f>IF($C70=0,"",SUMIFS(INPUT_DATA!AY:AY,INPUT_DATA!$A:$A,$C70,INPUT_DATA!$C:$C,"S"))</f>
        <v/>
      </c>
      <c r="J70" s="761" t="str">
        <f>IF($C70=0,"",SUMIFS(INPUT_DATA!AZ:AZ,INPUT_DATA!$A:$A,$C70,INPUT_DATA!$C:$C,"S"))</f>
        <v/>
      </c>
      <c r="K70" s="761" t="str">
        <f>IF($C70=0,"",SUMIFS(INPUT_DATA!BA:BA,INPUT_DATA!$A:$A,$C70,INPUT_DATA!$C:$C,"S"))</f>
        <v/>
      </c>
      <c r="L70" s="761" t="str">
        <f>IF($C70=0,"",SUMIFS(INPUT_DATA!BB:BB,INPUT_DATA!$A:$A,$C70,INPUT_DATA!$C:$C,"S"))</f>
        <v/>
      </c>
      <c r="M70" s="761" t="str">
        <f>IF($C70=0,"",SUMIFS(INPUT_DATA!BC:BC,INPUT_DATA!$A:$A,$C70,INPUT_DATA!$C:$C,"S"))</f>
        <v/>
      </c>
      <c r="N70" s="761" t="str">
        <f>IF($C70=0,"",SUMIFS(INPUT_DATA!BD:BD,INPUT_DATA!$A:$A,$C70,INPUT_DATA!$C:$C,"S"))</f>
        <v/>
      </c>
      <c r="O70" s="761" t="str">
        <f>IF($C70=0,"",SUMIFS(INPUT_DATA!BE:BE,INPUT_DATA!$A:$A,$C70,INPUT_DATA!$C:$C,"S"))</f>
        <v/>
      </c>
      <c r="P70" s="761" t="str">
        <f>IF($C70=0,"",SUMIFS(INPUT_DATA!BF:BF,INPUT_DATA!$A:$A,$C70,INPUT_DATA!$C:$C,"S"))</f>
        <v/>
      </c>
      <c r="Q70" s="767" t="str">
        <f t="shared" si="5"/>
        <v/>
      </c>
      <c r="R70" s="769" t="str">
        <f>IF($C70=0,"",SUMIFS(INPUT_DATA!BH:BH,INPUT_DATA!$A:$A,$C70,INPUT_DATA!$C:$C,"S"))</f>
        <v/>
      </c>
      <c r="S70" s="769" t="str">
        <f>IF($C70=0,"",SUMIFS(INPUT_DATA!BI:BI,INPUT_DATA!$A:$A,$C70,INPUT_DATA!$C:$C,"S"))</f>
        <v/>
      </c>
      <c r="T70" s="767" t="str">
        <f t="shared" si="6"/>
        <v/>
      </c>
      <c r="U70" s="772" t="str">
        <f>IF($C70=0,"",SUMIFS(INPUT_DATA!BL:BL,INPUT_DATA!$A:$A,$C70,INPUT_DATA!$C:$C,"S"))</f>
        <v/>
      </c>
      <c r="V70" s="155" t="str">
        <f t="shared" si="1"/>
        <v/>
      </c>
      <c r="W70" s="149"/>
      <c r="X70" s="749" t="str">
        <f>IF($C70=0,"",SUMIFS(INPUT_DATA!AU:AU,INPUT_DATA!$A:$A,$C70,INPUT_DATA!$C:$C,"D"))</f>
        <v/>
      </c>
      <c r="Y70" s="761" t="str">
        <f>IF($C70=0,"",SUMIFS(INPUT_DATA!AV:AV,INPUT_DATA!$A:$A,$C70,INPUT_DATA!$C:$C,"D"))</f>
        <v/>
      </c>
      <c r="Z70" s="761" t="str">
        <f>IF($C70=0,"",SUMIFS(INPUT_DATA!AW:AW,INPUT_DATA!$A:$A,$C70,INPUT_DATA!$C:$C,"D"))</f>
        <v/>
      </c>
      <c r="AA70" s="762" t="str">
        <f t="shared" si="2"/>
        <v/>
      </c>
      <c r="AB70" s="761" t="str">
        <f>IF($C70=0,"",SUMIFS(INPUT_DATA!AX:AX,INPUT_DATA!$A:$A,$C70,INPUT_DATA!$C:$C,"D"))</f>
        <v/>
      </c>
      <c r="AC70" s="761" t="str">
        <f>IF($C70=0,"",SUMIFS(INPUT_DATA!AY:AY,INPUT_DATA!$A:$A,$C70,INPUT_DATA!$C:$C,"D"))</f>
        <v/>
      </c>
      <c r="AD70" s="761" t="str">
        <f>IF($C70=0,"",SUMIFS(INPUT_DATA!AZ:AZ,INPUT_DATA!$A:$A,$C70,INPUT_DATA!$C:$C,"D"))</f>
        <v/>
      </c>
      <c r="AE70" s="761" t="str">
        <f>IF($C70=0,"",SUMIFS(INPUT_DATA!BA:BA,INPUT_DATA!$A:$A,$C70,INPUT_DATA!$C:$C,"D"))</f>
        <v/>
      </c>
      <c r="AF70" s="761" t="str">
        <f>IF($C70=0,"",SUMIFS(INPUT_DATA!BB:BB,INPUT_DATA!$A:$A,$C70,INPUT_DATA!$C:$C,"D"))</f>
        <v/>
      </c>
      <c r="AG70" s="761" t="str">
        <f>IF($C70=0,"",SUMIFS(INPUT_DATA!BC:BC,INPUT_DATA!$A:$A,$C70,INPUT_DATA!$C:$C,"D"))</f>
        <v/>
      </c>
      <c r="AH70" s="761" t="str">
        <f>IF($C70=0,"",SUMIFS(INPUT_DATA!BD:BD,INPUT_DATA!$A:$A,$C70,INPUT_DATA!$C:$C,"D"))</f>
        <v/>
      </c>
      <c r="AI70" s="761" t="str">
        <f>IF($C70=0,"",SUMIFS(INPUT_DATA!BE:BE,INPUT_DATA!$A:$A,$C70,INPUT_DATA!$C:$C,"D"))</f>
        <v/>
      </c>
      <c r="AJ70" s="314" t="str">
        <f t="shared" si="3"/>
        <v/>
      </c>
      <c r="AK70" s="769" t="str">
        <f>IF($C70=0,"",SUMIFS(INPUT_DATA!BG:BG,INPUT_DATA!$A:$A,$C70,INPUT_DATA!$C:$C,"D"))</f>
        <v/>
      </c>
      <c r="AL70" s="769" t="str">
        <f>IF($C70=0,"",SUMIFS(INPUT_DATA!BH:BH,INPUT_DATA!$A:$A,$C70,INPUT_DATA!$C:$C,"D"))</f>
        <v/>
      </c>
      <c r="AM70" s="769" t="str">
        <f>IF($C70=0,"",SUMIFS(INPUT_DATA!BI:BI,INPUT_DATA!$A:$A,$C70,INPUT_DATA!$C:$C,"D"))</f>
        <v/>
      </c>
      <c r="AN70" s="767" t="str">
        <f t="shared" si="7"/>
        <v/>
      </c>
      <c r="AO70" s="772" t="str">
        <f>IF($C70=0,"",SUMIFS(INPUT_DATA!BK:BK,INPUT_DATA!$A:$A,$C70,INPUT_DATA!$C:$C,"D"))</f>
        <v/>
      </c>
      <c r="AP70" s="354" t="str">
        <f t="shared" si="8"/>
        <v/>
      </c>
      <c r="AQ70" s="149"/>
      <c r="AS70" s="354" t="str">
        <f t="shared" si="9"/>
        <v/>
      </c>
      <c r="AU70" s="378" t="str">
        <f>IF($C70=0,"",'03 - Monthly Asset Follow up'!E74+'03 - Monthly Asset Follow up'!F74-'03 - Monthly Asset Follow up'!U74+'03 - Monthly Asset Follow up'!X74-H70)</f>
        <v/>
      </c>
      <c r="AV70" s="378" t="str">
        <f>IF($C70=0,"",'03 - Monthly Asset Follow up'!BD74+'03 - Monthly Asset Follow up'!BE74-'03 - Monthly Asset Follow up'!BT74+'03 - Monthly Asset Follow up'!BW74-AA70)</f>
        <v/>
      </c>
      <c r="AX70" s="154"/>
    </row>
    <row r="71" spans="2:50" x14ac:dyDescent="0.2">
      <c r="B71" s="753" t="str">
        <f t="shared" si="4"/>
        <v/>
      </c>
      <c r="C71" s="756">
        <f>'03 - Monthly Asset Follow up'!B75</f>
        <v>0</v>
      </c>
      <c r="D71" s="149"/>
      <c r="E71" s="749" t="str">
        <f>IF($C71=0,"",SUMIFS(INPUT_DATA!AU:AU,INPUT_DATA!$A:$A,$C71,INPUT_DATA!$C:$C,"S"))</f>
        <v/>
      </c>
      <c r="F71" s="761" t="str">
        <f>IF($C71=0,"",SUMIFS(INPUT_DATA!AV:AV,INPUT_DATA!$A:$A,$C71,INPUT_DATA!$C:$C,"S"))</f>
        <v/>
      </c>
      <c r="G71" s="761" t="str">
        <f>IF($C71=0,"",SUMIFS(INPUT_DATA!AW:AW,INPUT_DATA!$A:$A,$C71,INPUT_DATA!$C:$C,"S"))</f>
        <v/>
      </c>
      <c r="H71" s="763" t="str">
        <f t="shared" si="0"/>
        <v/>
      </c>
      <c r="I71" s="761" t="str">
        <f>IF($C71=0,"",SUMIFS(INPUT_DATA!AY:AY,INPUT_DATA!$A:$A,$C71,INPUT_DATA!$C:$C,"S"))</f>
        <v/>
      </c>
      <c r="J71" s="761" t="str">
        <f>IF($C71=0,"",SUMIFS(INPUT_DATA!AZ:AZ,INPUT_DATA!$A:$A,$C71,INPUT_DATA!$C:$C,"S"))</f>
        <v/>
      </c>
      <c r="K71" s="761" t="str">
        <f>IF($C71=0,"",SUMIFS(INPUT_DATA!BA:BA,INPUT_DATA!$A:$A,$C71,INPUT_DATA!$C:$C,"S"))</f>
        <v/>
      </c>
      <c r="L71" s="761" t="str">
        <f>IF($C71=0,"",SUMIFS(INPUT_DATA!BB:BB,INPUT_DATA!$A:$A,$C71,INPUT_DATA!$C:$C,"S"))</f>
        <v/>
      </c>
      <c r="M71" s="761" t="str">
        <f>IF($C71=0,"",SUMIFS(INPUT_DATA!BC:BC,INPUT_DATA!$A:$A,$C71,INPUT_DATA!$C:$C,"S"))</f>
        <v/>
      </c>
      <c r="N71" s="761" t="str">
        <f>IF($C71=0,"",SUMIFS(INPUT_DATA!BD:BD,INPUT_DATA!$A:$A,$C71,INPUT_DATA!$C:$C,"S"))</f>
        <v/>
      </c>
      <c r="O71" s="761" t="str">
        <f>IF($C71=0,"",SUMIFS(INPUT_DATA!BE:BE,INPUT_DATA!$A:$A,$C71,INPUT_DATA!$C:$C,"S"))</f>
        <v/>
      </c>
      <c r="P71" s="761" t="str">
        <f>IF($C71=0,"",SUMIFS(INPUT_DATA!BF:BF,INPUT_DATA!$A:$A,$C71,INPUT_DATA!$C:$C,"S"))</f>
        <v/>
      </c>
      <c r="Q71" s="767" t="str">
        <f t="shared" si="5"/>
        <v/>
      </c>
      <c r="R71" s="769" t="str">
        <f>IF($C71=0,"",SUMIFS(INPUT_DATA!BH:BH,INPUT_DATA!$A:$A,$C71,INPUT_DATA!$C:$C,"S"))</f>
        <v/>
      </c>
      <c r="S71" s="769" t="str">
        <f>IF($C71=0,"",SUMIFS(INPUT_DATA!BI:BI,INPUT_DATA!$A:$A,$C71,INPUT_DATA!$C:$C,"S"))</f>
        <v/>
      </c>
      <c r="T71" s="767" t="str">
        <f t="shared" si="6"/>
        <v/>
      </c>
      <c r="U71" s="772" t="str">
        <f>IF($C71=0,"",SUMIFS(INPUT_DATA!BL:BL,INPUT_DATA!$A:$A,$C71,INPUT_DATA!$C:$C,"S"))</f>
        <v/>
      </c>
      <c r="V71" s="155" t="str">
        <f t="shared" si="1"/>
        <v/>
      </c>
      <c r="W71" s="149"/>
      <c r="X71" s="749" t="str">
        <f>IF($C71=0,"",SUMIFS(INPUT_DATA!AU:AU,INPUT_DATA!$A:$A,$C71,INPUT_DATA!$C:$C,"D"))</f>
        <v/>
      </c>
      <c r="Y71" s="761" t="str">
        <f>IF($C71=0,"",SUMIFS(INPUT_DATA!AV:AV,INPUT_DATA!$A:$A,$C71,INPUT_DATA!$C:$C,"D"))</f>
        <v/>
      </c>
      <c r="Z71" s="761" t="str">
        <f>IF($C71=0,"",SUMIFS(INPUT_DATA!AW:AW,INPUT_DATA!$A:$A,$C71,INPUT_DATA!$C:$C,"D"))</f>
        <v/>
      </c>
      <c r="AA71" s="762" t="str">
        <f t="shared" si="2"/>
        <v/>
      </c>
      <c r="AB71" s="761" t="str">
        <f>IF($C71=0,"",SUMIFS(INPUT_DATA!AX:AX,INPUT_DATA!$A:$A,$C71,INPUT_DATA!$C:$C,"D"))</f>
        <v/>
      </c>
      <c r="AC71" s="761" t="str">
        <f>IF($C71=0,"",SUMIFS(INPUT_DATA!AY:AY,INPUT_DATA!$A:$A,$C71,INPUT_DATA!$C:$C,"D"))</f>
        <v/>
      </c>
      <c r="AD71" s="761" t="str">
        <f>IF($C71=0,"",SUMIFS(INPUT_DATA!AZ:AZ,INPUT_DATA!$A:$A,$C71,INPUT_DATA!$C:$C,"D"))</f>
        <v/>
      </c>
      <c r="AE71" s="761" t="str">
        <f>IF($C71=0,"",SUMIFS(INPUT_DATA!BA:BA,INPUT_DATA!$A:$A,$C71,INPUT_DATA!$C:$C,"D"))</f>
        <v/>
      </c>
      <c r="AF71" s="761" t="str">
        <f>IF($C71=0,"",SUMIFS(INPUT_DATA!BB:BB,INPUT_DATA!$A:$A,$C71,INPUT_DATA!$C:$C,"D"))</f>
        <v/>
      </c>
      <c r="AG71" s="761" t="str">
        <f>IF($C71=0,"",SUMIFS(INPUT_DATA!BC:BC,INPUT_DATA!$A:$A,$C71,INPUT_DATA!$C:$C,"D"))</f>
        <v/>
      </c>
      <c r="AH71" s="761" t="str">
        <f>IF($C71=0,"",SUMIFS(INPUT_DATA!BD:BD,INPUT_DATA!$A:$A,$C71,INPUT_DATA!$C:$C,"D"))</f>
        <v/>
      </c>
      <c r="AI71" s="761" t="str">
        <f>IF($C71=0,"",SUMIFS(INPUT_DATA!BE:BE,INPUT_DATA!$A:$A,$C71,INPUT_DATA!$C:$C,"D"))</f>
        <v/>
      </c>
      <c r="AJ71" s="314" t="str">
        <f t="shared" si="3"/>
        <v/>
      </c>
      <c r="AK71" s="769" t="str">
        <f>IF($C71=0,"",SUMIFS(INPUT_DATA!BG:BG,INPUT_DATA!$A:$A,$C71,INPUT_DATA!$C:$C,"D"))</f>
        <v/>
      </c>
      <c r="AL71" s="769" t="str">
        <f>IF($C71=0,"",SUMIFS(INPUT_DATA!BH:BH,INPUT_DATA!$A:$A,$C71,INPUT_DATA!$C:$C,"D"))</f>
        <v/>
      </c>
      <c r="AM71" s="769" t="str">
        <f>IF($C71=0,"",SUMIFS(INPUT_DATA!BI:BI,INPUT_DATA!$A:$A,$C71,INPUT_DATA!$C:$C,"D"))</f>
        <v/>
      </c>
      <c r="AN71" s="767" t="str">
        <f t="shared" si="7"/>
        <v/>
      </c>
      <c r="AO71" s="772" t="str">
        <f>IF($C71=0,"",SUMIFS(INPUT_DATA!BK:BK,INPUT_DATA!$A:$A,$C71,INPUT_DATA!$C:$C,"D"))</f>
        <v/>
      </c>
      <c r="AP71" s="354" t="str">
        <f t="shared" si="8"/>
        <v/>
      </c>
      <c r="AQ71" s="149"/>
      <c r="AS71" s="354" t="str">
        <f t="shared" si="9"/>
        <v/>
      </c>
      <c r="AU71" s="378" t="str">
        <f>IF($C71=0,"",'03 - Monthly Asset Follow up'!E75+'03 - Monthly Asset Follow up'!F75-'03 - Monthly Asset Follow up'!U75+'03 - Monthly Asset Follow up'!X75-H71)</f>
        <v/>
      </c>
      <c r="AV71" s="378" t="str">
        <f>IF($C71=0,"",'03 - Monthly Asset Follow up'!BD75+'03 - Monthly Asset Follow up'!BE75-'03 - Monthly Asset Follow up'!BT75+'03 - Monthly Asset Follow up'!BW75-AA71)</f>
        <v/>
      </c>
      <c r="AX71" s="154"/>
    </row>
    <row r="72" spans="2:50" x14ac:dyDescent="0.2">
      <c r="B72" s="753" t="str">
        <f t="shared" si="4"/>
        <v/>
      </c>
      <c r="C72" s="756">
        <f>'03 - Monthly Asset Follow up'!B76</f>
        <v>0</v>
      </c>
      <c r="D72" s="149"/>
      <c r="E72" s="749" t="str">
        <f>IF($C72=0,"",SUMIFS(INPUT_DATA!AU:AU,INPUT_DATA!$A:$A,$C72,INPUT_DATA!$C:$C,"S"))</f>
        <v/>
      </c>
      <c r="F72" s="761" t="str">
        <f>IF($C72=0,"",SUMIFS(INPUT_DATA!AV:AV,INPUT_DATA!$A:$A,$C72,INPUT_DATA!$C:$C,"S"))</f>
        <v/>
      </c>
      <c r="G72" s="761" t="str">
        <f>IF($C72=0,"",SUMIFS(INPUT_DATA!AW:AW,INPUT_DATA!$A:$A,$C72,INPUT_DATA!$C:$C,"S"))</f>
        <v/>
      </c>
      <c r="H72" s="763" t="str">
        <f t="shared" si="0"/>
        <v/>
      </c>
      <c r="I72" s="761" t="str">
        <f>IF($C72=0,"",SUMIFS(INPUT_DATA!AY:AY,INPUT_DATA!$A:$A,$C72,INPUT_DATA!$C:$C,"S"))</f>
        <v/>
      </c>
      <c r="J72" s="761" t="str">
        <f>IF($C72=0,"",SUMIFS(INPUT_DATA!AZ:AZ,INPUT_DATA!$A:$A,$C72,INPUT_DATA!$C:$C,"S"))</f>
        <v/>
      </c>
      <c r="K72" s="761" t="str">
        <f>IF($C72=0,"",SUMIFS(INPUT_DATA!BA:BA,INPUT_DATA!$A:$A,$C72,INPUT_DATA!$C:$C,"S"))</f>
        <v/>
      </c>
      <c r="L72" s="761" t="str">
        <f>IF($C72=0,"",SUMIFS(INPUT_DATA!BB:BB,INPUT_DATA!$A:$A,$C72,INPUT_DATA!$C:$C,"S"))</f>
        <v/>
      </c>
      <c r="M72" s="761" t="str">
        <f>IF($C72=0,"",SUMIFS(INPUT_DATA!BC:BC,INPUT_DATA!$A:$A,$C72,INPUT_DATA!$C:$C,"S"))</f>
        <v/>
      </c>
      <c r="N72" s="761" t="str">
        <f>IF($C72=0,"",SUMIFS(INPUT_DATA!BD:BD,INPUT_DATA!$A:$A,$C72,INPUT_DATA!$C:$C,"S"))</f>
        <v/>
      </c>
      <c r="O72" s="761" t="str">
        <f>IF($C72=0,"",SUMIFS(INPUT_DATA!BE:BE,INPUT_DATA!$A:$A,$C72,INPUT_DATA!$C:$C,"S"))</f>
        <v/>
      </c>
      <c r="P72" s="761" t="str">
        <f>IF($C72=0,"",SUMIFS(INPUT_DATA!BF:BF,INPUT_DATA!$A:$A,$C72,INPUT_DATA!$C:$C,"S"))</f>
        <v/>
      </c>
      <c r="Q72" s="767" t="str">
        <f t="shared" si="5"/>
        <v/>
      </c>
      <c r="R72" s="769" t="str">
        <f>IF($C72=0,"",SUMIFS(INPUT_DATA!BH:BH,INPUT_DATA!$A:$A,$C72,INPUT_DATA!$C:$C,"S"))</f>
        <v/>
      </c>
      <c r="S72" s="769" t="str">
        <f>IF($C72=0,"",SUMIFS(INPUT_DATA!BI:BI,INPUT_DATA!$A:$A,$C72,INPUT_DATA!$C:$C,"S"))</f>
        <v/>
      </c>
      <c r="T72" s="767" t="str">
        <f t="shared" si="6"/>
        <v/>
      </c>
      <c r="U72" s="772" t="str">
        <f>IF($C72=0,"",SUMIFS(INPUT_DATA!BL:BL,INPUT_DATA!$A:$A,$C72,INPUT_DATA!$C:$C,"S"))</f>
        <v/>
      </c>
      <c r="V72" s="155" t="str">
        <f t="shared" si="1"/>
        <v/>
      </c>
      <c r="W72" s="149"/>
      <c r="X72" s="749" t="str">
        <f>IF($C72=0,"",SUMIFS(INPUT_DATA!AU:AU,INPUT_DATA!$A:$A,$C72,INPUT_DATA!$C:$C,"D"))</f>
        <v/>
      </c>
      <c r="Y72" s="761" t="str">
        <f>IF($C72=0,"",SUMIFS(INPUT_DATA!AV:AV,INPUT_DATA!$A:$A,$C72,INPUT_DATA!$C:$C,"D"))</f>
        <v/>
      </c>
      <c r="Z72" s="761" t="str">
        <f>IF($C72=0,"",SUMIFS(INPUT_DATA!AW:AW,INPUT_DATA!$A:$A,$C72,INPUT_DATA!$C:$C,"D"))</f>
        <v/>
      </c>
      <c r="AA72" s="762" t="str">
        <f t="shared" si="2"/>
        <v/>
      </c>
      <c r="AB72" s="761" t="str">
        <f>IF($C72=0,"",SUMIFS(INPUT_DATA!AX:AX,INPUT_DATA!$A:$A,$C72,INPUT_DATA!$C:$C,"D"))</f>
        <v/>
      </c>
      <c r="AC72" s="761" t="str">
        <f>IF($C72=0,"",SUMIFS(INPUT_DATA!AY:AY,INPUT_DATA!$A:$A,$C72,INPUT_DATA!$C:$C,"D"))</f>
        <v/>
      </c>
      <c r="AD72" s="761" t="str">
        <f>IF($C72=0,"",SUMIFS(INPUT_DATA!AZ:AZ,INPUT_DATA!$A:$A,$C72,INPUT_DATA!$C:$C,"D"))</f>
        <v/>
      </c>
      <c r="AE72" s="761" t="str">
        <f>IF($C72=0,"",SUMIFS(INPUT_DATA!BA:BA,INPUT_DATA!$A:$A,$C72,INPUT_DATA!$C:$C,"D"))</f>
        <v/>
      </c>
      <c r="AF72" s="761" t="str">
        <f>IF($C72=0,"",SUMIFS(INPUT_DATA!BB:BB,INPUT_DATA!$A:$A,$C72,INPUT_DATA!$C:$C,"D"))</f>
        <v/>
      </c>
      <c r="AG72" s="761" t="str">
        <f>IF($C72=0,"",SUMIFS(INPUT_DATA!BC:BC,INPUT_DATA!$A:$A,$C72,INPUT_DATA!$C:$C,"D"))</f>
        <v/>
      </c>
      <c r="AH72" s="761" t="str">
        <f>IF($C72=0,"",SUMIFS(INPUT_DATA!BD:BD,INPUT_DATA!$A:$A,$C72,INPUT_DATA!$C:$C,"D"))</f>
        <v/>
      </c>
      <c r="AI72" s="761" t="str">
        <f>IF($C72=0,"",SUMIFS(INPUT_DATA!BE:BE,INPUT_DATA!$A:$A,$C72,INPUT_DATA!$C:$C,"D"))</f>
        <v/>
      </c>
      <c r="AJ72" s="314" t="str">
        <f t="shared" si="3"/>
        <v/>
      </c>
      <c r="AK72" s="769" t="str">
        <f>IF($C72=0,"",SUMIFS(INPUT_DATA!BG:BG,INPUT_DATA!$A:$A,$C72,INPUT_DATA!$C:$C,"D"))</f>
        <v/>
      </c>
      <c r="AL72" s="769" t="str">
        <f>IF($C72=0,"",SUMIFS(INPUT_DATA!BH:BH,INPUT_DATA!$A:$A,$C72,INPUT_DATA!$C:$C,"D"))</f>
        <v/>
      </c>
      <c r="AM72" s="769" t="str">
        <f>IF($C72=0,"",SUMIFS(INPUT_DATA!BI:BI,INPUT_DATA!$A:$A,$C72,INPUT_DATA!$C:$C,"D"))</f>
        <v/>
      </c>
      <c r="AN72" s="767" t="str">
        <f t="shared" si="7"/>
        <v/>
      </c>
      <c r="AO72" s="772" t="str">
        <f>IF($C72=0,"",SUMIFS(INPUT_DATA!BK:BK,INPUT_DATA!$A:$A,$C72,INPUT_DATA!$C:$C,"D"))</f>
        <v/>
      </c>
      <c r="AP72" s="354" t="str">
        <f t="shared" si="8"/>
        <v/>
      </c>
      <c r="AQ72" s="149"/>
      <c r="AS72" s="354" t="str">
        <f t="shared" si="9"/>
        <v/>
      </c>
      <c r="AU72" s="378" t="str">
        <f>IF($C72=0,"",'03 - Monthly Asset Follow up'!E76+'03 - Monthly Asset Follow up'!F76-'03 - Monthly Asset Follow up'!U76+'03 - Monthly Asset Follow up'!X76-H72)</f>
        <v/>
      </c>
      <c r="AV72" s="378" t="str">
        <f>IF($C72=0,"",'03 - Monthly Asset Follow up'!BD76+'03 - Monthly Asset Follow up'!BE76-'03 - Monthly Asset Follow up'!BT76+'03 - Monthly Asset Follow up'!BW76-AA72)</f>
        <v/>
      </c>
      <c r="AX72" s="154"/>
    </row>
    <row r="73" spans="2:50" x14ac:dyDescent="0.2">
      <c r="B73" s="753" t="str">
        <f t="shared" si="4"/>
        <v/>
      </c>
      <c r="C73" s="756">
        <f>'03 - Monthly Asset Follow up'!B77</f>
        <v>0</v>
      </c>
      <c r="D73" s="149"/>
      <c r="E73" s="749" t="str">
        <f>IF($C73=0,"",SUMIFS(INPUT_DATA!AU:AU,INPUT_DATA!$A:$A,$C73,INPUT_DATA!$C:$C,"S"))</f>
        <v/>
      </c>
      <c r="F73" s="761" t="str">
        <f>IF($C73=0,"",SUMIFS(INPUT_DATA!AV:AV,INPUT_DATA!$A:$A,$C73,INPUT_DATA!$C:$C,"S"))</f>
        <v/>
      </c>
      <c r="G73" s="761" t="str">
        <f>IF($C73=0,"",SUMIFS(INPUT_DATA!AW:AW,INPUT_DATA!$A:$A,$C73,INPUT_DATA!$C:$C,"S"))</f>
        <v/>
      </c>
      <c r="H73" s="763" t="str">
        <f t="shared" si="0"/>
        <v/>
      </c>
      <c r="I73" s="761" t="str">
        <f>IF($C73=0,"",SUMIFS(INPUT_DATA!AY:AY,INPUT_DATA!$A:$A,$C73,INPUT_DATA!$C:$C,"S"))</f>
        <v/>
      </c>
      <c r="J73" s="761" t="str">
        <f>IF($C73=0,"",SUMIFS(INPUT_DATA!AZ:AZ,INPUT_DATA!$A:$A,$C73,INPUT_DATA!$C:$C,"S"))</f>
        <v/>
      </c>
      <c r="K73" s="761" t="str">
        <f>IF($C73=0,"",SUMIFS(INPUT_DATA!BA:BA,INPUT_DATA!$A:$A,$C73,INPUT_DATA!$C:$C,"S"))</f>
        <v/>
      </c>
      <c r="L73" s="761" t="str">
        <f>IF($C73=0,"",SUMIFS(INPUT_DATA!BB:BB,INPUT_DATA!$A:$A,$C73,INPUT_DATA!$C:$C,"S"))</f>
        <v/>
      </c>
      <c r="M73" s="761" t="str">
        <f>IF($C73=0,"",SUMIFS(INPUT_DATA!BC:BC,INPUT_DATA!$A:$A,$C73,INPUT_DATA!$C:$C,"S"))</f>
        <v/>
      </c>
      <c r="N73" s="761" t="str">
        <f>IF($C73=0,"",SUMIFS(INPUT_DATA!BD:BD,INPUT_DATA!$A:$A,$C73,INPUT_DATA!$C:$C,"S"))</f>
        <v/>
      </c>
      <c r="O73" s="761" t="str">
        <f>IF($C73=0,"",SUMIFS(INPUT_DATA!BE:BE,INPUT_DATA!$A:$A,$C73,INPUT_DATA!$C:$C,"S"))</f>
        <v/>
      </c>
      <c r="P73" s="761" t="str">
        <f>IF($C73=0,"",SUMIFS(INPUT_DATA!BF:BF,INPUT_DATA!$A:$A,$C73,INPUT_DATA!$C:$C,"S"))</f>
        <v/>
      </c>
      <c r="Q73" s="767" t="str">
        <f t="shared" si="5"/>
        <v/>
      </c>
      <c r="R73" s="769" t="str">
        <f>IF($C73=0,"",SUMIFS(INPUT_DATA!BH:BH,INPUT_DATA!$A:$A,$C73,INPUT_DATA!$C:$C,"S"))</f>
        <v/>
      </c>
      <c r="S73" s="769" t="str">
        <f>IF($C73=0,"",SUMIFS(INPUT_DATA!BI:BI,INPUT_DATA!$A:$A,$C73,INPUT_DATA!$C:$C,"S"))</f>
        <v/>
      </c>
      <c r="T73" s="767" t="str">
        <f t="shared" si="6"/>
        <v/>
      </c>
      <c r="U73" s="772" t="str">
        <f>IF($C73=0,"",SUMIFS(INPUT_DATA!BL:BL,INPUT_DATA!$A:$A,$C73,INPUT_DATA!$C:$C,"S"))</f>
        <v/>
      </c>
      <c r="V73" s="155" t="str">
        <f t="shared" si="1"/>
        <v/>
      </c>
      <c r="W73" s="149"/>
      <c r="X73" s="749" t="str">
        <f>IF($C73=0,"",SUMIFS(INPUT_DATA!AU:AU,INPUT_DATA!$A:$A,$C73,INPUT_DATA!$C:$C,"D"))</f>
        <v/>
      </c>
      <c r="Y73" s="761" t="str">
        <f>IF($C73=0,"",SUMIFS(INPUT_DATA!AV:AV,INPUT_DATA!$A:$A,$C73,INPUT_DATA!$C:$C,"D"))</f>
        <v/>
      </c>
      <c r="Z73" s="761" t="str">
        <f>IF($C73=0,"",SUMIFS(INPUT_DATA!AW:AW,INPUT_DATA!$A:$A,$C73,INPUT_DATA!$C:$C,"D"))</f>
        <v/>
      </c>
      <c r="AA73" s="762" t="str">
        <f t="shared" si="2"/>
        <v/>
      </c>
      <c r="AB73" s="761" t="str">
        <f>IF($C73=0,"",SUMIFS(INPUT_DATA!AX:AX,INPUT_DATA!$A:$A,$C73,INPUT_DATA!$C:$C,"D"))</f>
        <v/>
      </c>
      <c r="AC73" s="761" t="str">
        <f>IF($C73=0,"",SUMIFS(INPUT_DATA!AY:AY,INPUT_DATA!$A:$A,$C73,INPUT_DATA!$C:$C,"D"))</f>
        <v/>
      </c>
      <c r="AD73" s="761" t="str">
        <f>IF($C73=0,"",SUMIFS(INPUT_DATA!AZ:AZ,INPUT_DATA!$A:$A,$C73,INPUT_DATA!$C:$C,"D"))</f>
        <v/>
      </c>
      <c r="AE73" s="761" t="str">
        <f>IF($C73=0,"",SUMIFS(INPUT_DATA!BA:BA,INPUT_DATA!$A:$A,$C73,INPUT_DATA!$C:$C,"D"))</f>
        <v/>
      </c>
      <c r="AF73" s="761" t="str">
        <f>IF($C73=0,"",SUMIFS(INPUT_DATA!BB:BB,INPUT_DATA!$A:$A,$C73,INPUT_DATA!$C:$C,"D"))</f>
        <v/>
      </c>
      <c r="AG73" s="761" t="str">
        <f>IF($C73=0,"",SUMIFS(INPUT_DATA!BC:BC,INPUT_DATA!$A:$A,$C73,INPUT_DATA!$C:$C,"D"))</f>
        <v/>
      </c>
      <c r="AH73" s="761" t="str">
        <f>IF($C73=0,"",SUMIFS(INPUT_DATA!BD:BD,INPUT_DATA!$A:$A,$C73,INPUT_DATA!$C:$C,"D"))</f>
        <v/>
      </c>
      <c r="AI73" s="761" t="str">
        <f>IF($C73=0,"",SUMIFS(INPUT_DATA!BE:BE,INPUT_DATA!$A:$A,$C73,INPUT_DATA!$C:$C,"D"))</f>
        <v/>
      </c>
      <c r="AJ73" s="314" t="str">
        <f t="shared" si="3"/>
        <v/>
      </c>
      <c r="AK73" s="769" t="str">
        <f>IF($C73=0,"",SUMIFS(INPUT_DATA!BG:BG,INPUT_DATA!$A:$A,$C73,INPUT_DATA!$C:$C,"D"))</f>
        <v/>
      </c>
      <c r="AL73" s="769" t="str">
        <f>IF($C73=0,"",SUMIFS(INPUT_DATA!BH:BH,INPUT_DATA!$A:$A,$C73,INPUT_DATA!$C:$C,"D"))</f>
        <v/>
      </c>
      <c r="AM73" s="769" t="str">
        <f>IF($C73=0,"",SUMIFS(INPUT_DATA!BI:BI,INPUT_DATA!$A:$A,$C73,INPUT_DATA!$C:$C,"D"))</f>
        <v/>
      </c>
      <c r="AN73" s="767" t="str">
        <f t="shared" si="7"/>
        <v/>
      </c>
      <c r="AO73" s="772" t="str">
        <f>IF($C73=0,"",SUMIFS(INPUT_DATA!BK:BK,INPUT_DATA!$A:$A,$C73,INPUT_DATA!$C:$C,"D"))</f>
        <v/>
      </c>
      <c r="AP73" s="354" t="str">
        <f t="shared" si="8"/>
        <v/>
      </c>
      <c r="AQ73" s="149"/>
      <c r="AS73" s="354" t="str">
        <f t="shared" si="9"/>
        <v/>
      </c>
      <c r="AU73" s="378" t="str">
        <f>IF($C73=0,"",'03 - Monthly Asset Follow up'!E77+'03 - Monthly Asset Follow up'!F77-'03 - Monthly Asset Follow up'!U77+'03 - Monthly Asset Follow up'!X77-H73)</f>
        <v/>
      </c>
      <c r="AV73" s="378" t="str">
        <f>IF($C73=0,"",'03 - Monthly Asset Follow up'!BD77+'03 - Monthly Asset Follow up'!BE77-'03 - Monthly Asset Follow up'!BT77+'03 - Monthly Asset Follow up'!BW77-AA73)</f>
        <v/>
      </c>
      <c r="AX73" s="154"/>
    </row>
    <row r="74" spans="2:50" x14ac:dyDescent="0.2">
      <c r="B74" s="753" t="str">
        <f t="shared" si="4"/>
        <v/>
      </c>
      <c r="C74" s="756">
        <f>'03 - Monthly Asset Follow up'!B78</f>
        <v>0</v>
      </c>
      <c r="D74" s="149"/>
      <c r="E74" s="749" t="str">
        <f>IF($C74=0,"",SUMIFS(INPUT_DATA!AU:AU,INPUT_DATA!$A:$A,$C74,INPUT_DATA!$C:$C,"S"))</f>
        <v/>
      </c>
      <c r="F74" s="761" t="str">
        <f>IF($C74=0,"",SUMIFS(INPUT_DATA!AV:AV,INPUT_DATA!$A:$A,$C74,INPUT_DATA!$C:$C,"S"))</f>
        <v/>
      </c>
      <c r="G74" s="761" t="str">
        <f>IF($C74=0,"",SUMIFS(INPUT_DATA!AW:AW,INPUT_DATA!$A:$A,$C74,INPUT_DATA!$C:$C,"S"))</f>
        <v/>
      </c>
      <c r="H74" s="763" t="str">
        <f t="shared" si="0"/>
        <v/>
      </c>
      <c r="I74" s="761" t="str">
        <f>IF($C74=0,"",SUMIFS(INPUT_DATA!AY:AY,INPUT_DATA!$A:$A,$C74,INPUT_DATA!$C:$C,"S"))</f>
        <v/>
      </c>
      <c r="J74" s="761" t="str">
        <f>IF($C74=0,"",SUMIFS(INPUT_DATA!AZ:AZ,INPUT_DATA!$A:$A,$C74,INPUT_DATA!$C:$C,"S"))</f>
        <v/>
      </c>
      <c r="K74" s="761" t="str">
        <f>IF($C74=0,"",SUMIFS(INPUT_DATA!BA:BA,INPUT_DATA!$A:$A,$C74,INPUT_DATA!$C:$C,"S"))</f>
        <v/>
      </c>
      <c r="L74" s="761" t="str">
        <f>IF($C74=0,"",SUMIFS(INPUT_DATA!BB:BB,INPUT_DATA!$A:$A,$C74,INPUT_DATA!$C:$C,"S"))</f>
        <v/>
      </c>
      <c r="M74" s="761" t="str">
        <f>IF($C74=0,"",SUMIFS(INPUT_DATA!BC:BC,INPUT_DATA!$A:$A,$C74,INPUT_DATA!$C:$C,"S"))</f>
        <v/>
      </c>
      <c r="N74" s="761" t="str">
        <f>IF($C74=0,"",SUMIFS(INPUT_DATA!BD:BD,INPUT_DATA!$A:$A,$C74,INPUT_DATA!$C:$C,"S"))</f>
        <v/>
      </c>
      <c r="O74" s="761" t="str">
        <f>IF($C74=0,"",SUMIFS(INPUT_DATA!BE:BE,INPUT_DATA!$A:$A,$C74,INPUT_DATA!$C:$C,"S"))</f>
        <v/>
      </c>
      <c r="P74" s="761" t="str">
        <f>IF($C74=0,"",SUMIFS(INPUT_DATA!BF:BF,INPUT_DATA!$A:$A,$C74,INPUT_DATA!$C:$C,"S"))</f>
        <v/>
      </c>
      <c r="Q74" s="767" t="str">
        <f t="shared" si="5"/>
        <v/>
      </c>
      <c r="R74" s="769" t="str">
        <f>IF($C74=0,"",SUMIFS(INPUT_DATA!BH:BH,INPUT_DATA!$A:$A,$C74,INPUT_DATA!$C:$C,"S"))</f>
        <v/>
      </c>
      <c r="S74" s="769" t="str">
        <f>IF($C74=0,"",SUMIFS(INPUT_DATA!BI:BI,INPUT_DATA!$A:$A,$C74,INPUT_DATA!$C:$C,"S"))</f>
        <v/>
      </c>
      <c r="T74" s="767" t="str">
        <f t="shared" si="6"/>
        <v/>
      </c>
      <c r="U74" s="772" t="str">
        <f>IF($C74=0,"",SUMIFS(INPUT_DATA!BL:BL,INPUT_DATA!$A:$A,$C74,INPUT_DATA!$C:$C,"S"))</f>
        <v/>
      </c>
      <c r="V74" s="155" t="str">
        <f t="shared" si="1"/>
        <v/>
      </c>
      <c r="W74" s="149"/>
      <c r="X74" s="749" t="str">
        <f>IF($C74=0,"",SUMIFS(INPUT_DATA!AU:AU,INPUT_DATA!$A:$A,$C74,INPUT_DATA!$C:$C,"D"))</f>
        <v/>
      </c>
      <c r="Y74" s="761" t="str">
        <f>IF($C74=0,"",SUMIFS(INPUT_DATA!AV:AV,INPUT_DATA!$A:$A,$C74,INPUT_DATA!$C:$C,"D"))</f>
        <v/>
      </c>
      <c r="Z74" s="761" t="str">
        <f>IF($C74=0,"",SUMIFS(INPUT_DATA!AW:AW,INPUT_DATA!$A:$A,$C74,INPUT_DATA!$C:$C,"D"))</f>
        <v/>
      </c>
      <c r="AA74" s="762" t="str">
        <f t="shared" si="2"/>
        <v/>
      </c>
      <c r="AB74" s="761" t="str">
        <f>IF($C74=0,"",SUMIFS(INPUT_DATA!AX:AX,INPUT_DATA!$A:$A,$C74,INPUT_DATA!$C:$C,"D"))</f>
        <v/>
      </c>
      <c r="AC74" s="761" t="str">
        <f>IF($C74=0,"",SUMIFS(INPUT_DATA!AY:AY,INPUT_DATA!$A:$A,$C74,INPUT_DATA!$C:$C,"D"))</f>
        <v/>
      </c>
      <c r="AD74" s="761" t="str">
        <f>IF($C74=0,"",SUMIFS(INPUT_DATA!AZ:AZ,INPUT_DATA!$A:$A,$C74,INPUT_DATA!$C:$C,"D"))</f>
        <v/>
      </c>
      <c r="AE74" s="761" t="str">
        <f>IF($C74=0,"",SUMIFS(INPUT_DATA!BA:BA,INPUT_DATA!$A:$A,$C74,INPUT_DATA!$C:$C,"D"))</f>
        <v/>
      </c>
      <c r="AF74" s="761" t="str">
        <f>IF($C74=0,"",SUMIFS(INPUT_DATA!BB:BB,INPUT_DATA!$A:$A,$C74,INPUT_DATA!$C:$C,"D"))</f>
        <v/>
      </c>
      <c r="AG74" s="761" t="str">
        <f>IF($C74=0,"",SUMIFS(INPUT_DATA!BC:BC,INPUT_DATA!$A:$A,$C74,INPUT_DATA!$C:$C,"D"))</f>
        <v/>
      </c>
      <c r="AH74" s="761" t="str">
        <f>IF($C74=0,"",SUMIFS(INPUT_DATA!BD:BD,INPUT_DATA!$A:$A,$C74,INPUT_DATA!$C:$C,"D"))</f>
        <v/>
      </c>
      <c r="AI74" s="761" t="str">
        <f>IF($C74=0,"",SUMIFS(INPUT_DATA!BE:BE,INPUT_DATA!$A:$A,$C74,INPUT_DATA!$C:$C,"D"))</f>
        <v/>
      </c>
      <c r="AJ74" s="314" t="str">
        <f t="shared" si="3"/>
        <v/>
      </c>
      <c r="AK74" s="769" t="str">
        <f>IF($C74=0,"",SUMIFS(INPUT_DATA!BG:BG,INPUT_DATA!$A:$A,$C74,INPUT_DATA!$C:$C,"D"))</f>
        <v/>
      </c>
      <c r="AL74" s="769" t="str">
        <f>IF($C74=0,"",SUMIFS(INPUT_DATA!BH:BH,INPUT_DATA!$A:$A,$C74,INPUT_DATA!$C:$C,"D"))</f>
        <v/>
      </c>
      <c r="AM74" s="769" t="str">
        <f>IF($C74=0,"",SUMIFS(INPUT_DATA!BI:BI,INPUT_DATA!$A:$A,$C74,INPUT_DATA!$C:$C,"D"))</f>
        <v/>
      </c>
      <c r="AN74" s="767" t="str">
        <f t="shared" si="7"/>
        <v/>
      </c>
      <c r="AO74" s="772" t="str">
        <f>IF($C74=0,"",SUMIFS(INPUT_DATA!BK:BK,INPUT_DATA!$A:$A,$C74,INPUT_DATA!$C:$C,"D"))</f>
        <v/>
      </c>
      <c r="AP74" s="354" t="str">
        <f t="shared" si="8"/>
        <v/>
      </c>
      <c r="AQ74" s="149"/>
      <c r="AS74" s="354" t="str">
        <f t="shared" si="9"/>
        <v/>
      </c>
      <c r="AU74" s="378" t="str">
        <f>IF($C74=0,"",'03 - Monthly Asset Follow up'!E78+'03 - Monthly Asset Follow up'!F78-'03 - Monthly Asset Follow up'!U78+'03 - Monthly Asset Follow up'!X78-H74)</f>
        <v/>
      </c>
      <c r="AV74" s="378" t="str">
        <f>IF($C74=0,"",'03 - Monthly Asset Follow up'!BD78+'03 - Monthly Asset Follow up'!BE78-'03 - Monthly Asset Follow up'!BT78+'03 - Monthly Asset Follow up'!BW78-AA74)</f>
        <v/>
      </c>
      <c r="AX74" s="154"/>
    </row>
    <row r="75" spans="2:50" x14ac:dyDescent="0.2">
      <c r="B75" s="753" t="str">
        <f t="shared" si="4"/>
        <v/>
      </c>
      <c r="C75" s="756">
        <f>'03 - Monthly Asset Follow up'!B79</f>
        <v>0</v>
      </c>
      <c r="D75" s="149"/>
      <c r="E75" s="749" t="str">
        <f>IF($C75=0,"",SUMIFS(INPUT_DATA!AU:AU,INPUT_DATA!$A:$A,$C75,INPUT_DATA!$C:$C,"S"))</f>
        <v/>
      </c>
      <c r="F75" s="761" t="str">
        <f>IF($C75=0,"",SUMIFS(INPUT_DATA!AV:AV,INPUT_DATA!$A:$A,$C75,INPUT_DATA!$C:$C,"S"))</f>
        <v/>
      </c>
      <c r="G75" s="761" t="str">
        <f>IF($C75=0,"",SUMIFS(INPUT_DATA!AW:AW,INPUT_DATA!$A:$A,$C75,INPUT_DATA!$C:$C,"S"))</f>
        <v/>
      </c>
      <c r="H75" s="763" t="str">
        <f t="shared" si="0"/>
        <v/>
      </c>
      <c r="I75" s="761" t="str">
        <f>IF($C75=0,"",SUMIFS(INPUT_DATA!AY:AY,INPUT_DATA!$A:$A,$C75,INPUT_DATA!$C:$C,"S"))</f>
        <v/>
      </c>
      <c r="J75" s="761" t="str">
        <f>IF($C75=0,"",SUMIFS(INPUT_DATA!AZ:AZ,INPUT_DATA!$A:$A,$C75,INPUT_DATA!$C:$C,"S"))</f>
        <v/>
      </c>
      <c r="K75" s="761" t="str">
        <f>IF($C75=0,"",SUMIFS(INPUT_DATA!BA:BA,INPUT_DATA!$A:$A,$C75,INPUT_DATA!$C:$C,"S"))</f>
        <v/>
      </c>
      <c r="L75" s="761" t="str">
        <f>IF($C75=0,"",SUMIFS(INPUT_DATA!BB:BB,INPUT_DATA!$A:$A,$C75,INPUT_DATA!$C:$C,"S"))</f>
        <v/>
      </c>
      <c r="M75" s="761" t="str">
        <f>IF($C75=0,"",SUMIFS(INPUT_DATA!BC:BC,INPUT_DATA!$A:$A,$C75,INPUT_DATA!$C:$C,"S"))</f>
        <v/>
      </c>
      <c r="N75" s="761" t="str">
        <f>IF($C75=0,"",SUMIFS(INPUT_DATA!BD:BD,INPUT_DATA!$A:$A,$C75,INPUT_DATA!$C:$C,"S"))</f>
        <v/>
      </c>
      <c r="O75" s="761" t="str">
        <f>IF($C75=0,"",SUMIFS(INPUT_DATA!BE:BE,INPUT_DATA!$A:$A,$C75,INPUT_DATA!$C:$C,"S"))</f>
        <v/>
      </c>
      <c r="P75" s="761" t="str">
        <f>IF($C75=0,"",SUMIFS(INPUT_DATA!BF:BF,INPUT_DATA!$A:$A,$C75,INPUT_DATA!$C:$C,"S"))</f>
        <v/>
      </c>
      <c r="Q75" s="767" t="str">
        <f t="shared" si="5"/>
        <v/>
      </c>
      <c r="R75" s="769" t="str">
        <f>IF($C75=0,"",SUMIFS(INPUT_DATA!BH:BH,INPUT_DATA!$A:$A,$C75,INPUT_DATA!$C:$C,"S"))</f>
        <v/>
      </c>
      <c r="S75" s="769" t="str">
        <f>IF($C75=0,"",SUMIFS(INPUT_DATA!BI:BI,INPUT_DATA!$A:$A,$C75,INPUT_DATA!$C:$C,"S"))</f>
        <v/>
      </c>
      <c r="T75" s="767" t="str">
        <f t="shared" si="6"/>
        <v/>
      </c>
      <c r="U75" s="772" t="str">
        <f>IF($C75=0,"",SUMIFS(INPUT_DATA!BL:BL,INPUT_DATA!$A:$A,$C75,INPUT_DATA!$C:$C,"S"))</f>
        <v/>
      </c>
      <c r="V75" s="155" t="str">
        <f t="shared" si="1"/>
        <v/>
      </c>
      <c r="W75" s="149"/>
      <c r="X75" s="749" t="str">
        <f>IF($C75=0,"",SUMIFS(INPUT_DATA!AU:AU,INPUT_DATA!$A:$A,$C75,INPUT_DATA!$C:$C,"D"))</f>
        <v/>
      </c>
      <c r="Y75" s="761" t="str">
        <f>IF($C75=0,"",SUMIFS(INPUT_DATA!AV:AV,INPUT_DATA!$A:$A,$C75,INPUT_DATA!$C:$C,"D"))</f>
        <v/>
      </c>
      <c r="Z75" s="761" t="str">
        <f>IF($C75=0,"",SUMIFS(INPUT_DATA!AW:AW,INPUT_DATA!$A:$A,$C75,INPUT_DATA!$C:$C,"D"))</f>
        <v/>
      </c>
      <c r="AA75" s="762" t="str">
        <f t="shared" si="2"/>
        <v/>
      </c>
      <c r="AB75" s="761" t="str">
        <f>IF($C75=0,"",SUMIFS(INPUT_DATA!AX:AX,INPUT_DATA!$A:$A,$C75,INPUT_DATA!$C:$C,"D"))</f>
        <v/>
      </c>
      <c r="AC75" s="761" t="str">
        <f>IF($C75=0,"",SUMIFS(INPUT_DATA!AY:AY,INPUT_DATA!$A:$A,$C75,INPUT_DATA!$C:$C,"D"))</f>
        <v/>
      </c>
      <c r="AD75" s="761" t="str">
        <f>IF($C75=0,"",SUMIFS(INPUT_DATA!AZ:AZ,INPUT_DATA!$A:$A,$C75,INPUT_DATA!$C:$C,"D"))</f>
        <v/>
      </c>
      <c r="AE75" s="761" t="str">
        <f>IF($C75=0,"",SUMIFS(INPUT_DATA!BA:BA,INPUT_DATA!$A:$A,$C75,INPUT_DATA!$C:$C,"D"))</f>
        <v/>
      </c>
      <c r="AF75" s="761" t="str">
        <f>IF($C75=0,"",SUMIFS(INPUT_DATA!BB:BB,INPUT_DATA!$A:$A,$C75,INPUT_DATA!$C:$C,"D"))</f>
        <v/>
      </c>
      <c r="AG75" s="761" t="str">
        <f>IF($C75=0,"",SUMIFS(INPUT_DATA!BC:BC,INPUT_DATA!$A:$A,$C75,INPUT_DATA!$C:$C,"D"))</f>
        <v/>
      </c>
      <c r="AH75" s="761" t="str">
        <f>IF($C75=0,"",SUMIFS(INPUT_DATA!BD:BD,INPUT_DATA!$A:$A,$C75,INPUT_DATA!$C:$C,"D"))</f>
        <v/>
      </c>
      <c r="AI75" s="761" t="str">
        <f>IF($C75=0,"",SUMIFS(INPUT_DATA!BE:BE,INPUT_DATA!$A:$A,$C75,INPUT_DATA!$C:$C,"D"))</f>
        <v/>
      </c>
      <c r="AJ75" s="314" t="str">
        <f t="shared" si="3"/>
        <v/>
      </c>
      <c r="AK75" s="769" t="str">
        <f>IF($C75=0,"",SUMIFS(INPUT_DATA!BG:BG,INPUT_DATA!$A:$A,$C75,INPUT_DATA!$C:$C,"D"))</f>
        <v/>
      </c>
      <c r="AL75" s="769" t="str">
        <f>IF($C75=0,"",SUMIFS(INPUT_DATA!BH:BH,INPUT_DATA!$A:$A,$C75,INPUT_DATA!$C:$C,"D"))</f>
        <v/>
      </c>
      <c r="AM75" s="769" t="str">
        <f>IF($C75=0,"",SUMIFS(INPUT_DATA!BI:BI,INPUT_DATA!$A:$A,$C75,INPUT_DATA!$C:$C,"D"))</f>
        <v/>
      </c>
      <c r="AN75" s="767" t="str">
        <f t="shared" si="7"/>
        <v/>
      </c>
      <c r="AO75" s="772" t="str">
        <f>IF($C75=0,"",SUMIFS(INPUT_DATA!BK:BK,INPUT_DATA!$A:$A,$C75,INPUT_DATA!$C:$C,"D"))</f>
        <v/>
      </c>
      <c r="AP75" s="354" t="str">
        <f t="shared" si="8"/>
        <v/>
      </c>
      <c r="AQ75" s="149"/>
      <c r="AS75" s="354" t="str">
        <f t="shared" si="9"/>
        <v/>
      </c>
      <c r="AU75" s="378" t="str">
        <f>IF($C75=0,"",'03 - Monthly Asset Follow up'!E79+'03 - Monthly Asset Follow up'!F79-'03 - Monthly Asset Follow up'!U79+'03 - Monthly Asset Follow up'!X79-H75)</f>
        <v/>
      </c>
      <c r="AV75" s="378" t="str">
        <f>IF($C75=0,"",'03 - Monthly Asset Follow up'!BD79+'03 - Monthly Asset Follow up'!BE79-'03 - Monthly Asset Follow up'!BT79+'03 - Monthly Asset Follow up'!BW79-AA75)</f>
        <v/>
      </c>
      <c r="AX75" s="154"/>
    </row>
    <row r="76" spans="2:50" x14ac:dyDescent="0.2">
      <c r="B76" s="753" t="str">
        <f t="shared" si="4"/>
        <v/>
      </c>
      <c r="C76" s="756">
        <f>'03 - Monthly Asset Follow up'!B80</f>
        <v>0</v>
      </c>
      <c r="D76" s="149"/>
      <c r="E76" s="749" t="str">
        <f>IF($C76=0,"",SUMIFS(INPUT_DATA!AU:AU,INPUT_DATA!$A:$A,$C76,INPUT_DATA!$C:$C,"S"))</f>
        <v/>
      </c>
      <c r="F76" s="761" t="str">
        <f>IF($C76=0,"",SUMIFS(INPUT_DATA!AV:AV,INPUT_DATA!$A:$A,$C76,INPUT_DATA!$C:$C,"S"))</f>
        <v/>
      </c>
      <c r="G76" s="761" t="str">
        <f>IF($C76=0,"",SUMIFS(INPUT_DATA!AW:AW,INPUT_DATA!$A:$A,$C76,INPUT_DATA!$C:$C,"S"))</f>
        <v/>
      </c>
      <c r="H76" s="763" t="str">
        <f t="shared" si="0"/>
        <v/>
      </c>
      <c r="I76" s="761" t="str">
        <f>IF($C76=0,"",SUMIFS(INPUT_DATA!AY:AY,INPUT_DATA!$A:$A,$C76,INPUT_DATA!$C:$C,"S"))</f>
        <v/>
      </c>
      <c r="J76" s="761" t="str">
        <f>IF($C76=0,"",SUMIFS(INPUT_DATA!AZ:AZ,INPUT_DATA!$A:$A,$C76,INPUT_DATA!$C:$C,"S"))</f>
        <v/>
      </c>
      <c r="K76" s="761" t="str">
        <f>IF($C76=0,"",SUMIFS(INPUT_DATA!BA:BA,INPUT_DATA!$A:$A,$C76,INPUT_DATA!$C:$C,"S"))</f>
        <v/>
      </c>
      <c r="L76" s="761" t="str">
        <f>IF($C76=0,"",SUMIFS(INPUT_DATA!BB:BB,INPUT_DATA!$A:$A,$C76,INPUT_DATA!$C:$C,"S"))</f>
        <v/>
      </c>
      <c r="M76" s="761" t="str">
        <f>IF($C76=0,"",SUMIFS(INPUT_DATA!BC:BC,INPUT_DATA!$A:$A,$C76,INPUT_DATA!$C:$C,"S"))</f>
        <v/>
      </c>
      <c r="N76" s="761" t="str">
        <f>IF($C76=0,"",SUMIFS(INPUT_DATA!BD:BD,INPUT_DATA!$A:$A,$C76,INPUT_DATA!$C:$C,"S"))</f>
        <v/>
      </c>
      <c r="O76" s="761" t="str">
        <f>IF($C76=0,"",SUMIFS(INPUT_DATA!BE:BE,INPUT_DATA!$A:$A,$C76,INPUT_DATA!$C:$C,"S"))</f>
        <v/>
      </c>
      <c r="P76" s="761" t="str">
        <f>IF($C76=0,"",SUMIFS(INPUT_DATA!BF:BF,INPUT_DATA!$A:$A,$C76,INPUT_DATA!$C:$C,"S"))</f>
        <v/>
      </c>
      <c r="Q76" s="767" t="str">
        <f t="shared" si="5"/>
        <v/>
      </c>
      <c r="R76" s="769" t="str">
        <f>IF($C76=0,"",SUMIFS(INPUT_DATA!BH:BH,INPUT_DATA!$A:$A,$C76,INPUT_DATA!$C:$C,"S"))</f>
        <v/>
      </c>
      <c r="S76" s="769" t="str">
        <f>IF($C76=0,"",SUMIFS(INPUT_DATA!BI:BI,INPUT_DATA!$A:$A,$C76,INPUT_DATA!$C:$C,"S"))</f>
        <v/>
      </c>
      <c r="T76" s="767" t="str">
        <f t="shared" si="6"/>
        <v/>
      </c>
      <c r="U76" s="772" t="str">
        <f>IF($C76=0,"",SUMIFS(INPUT_DATA!BL:BL,INPUT_DATA!$A:$A,$C76,INPUT_DATA!$C:$C,"S"))</f>
        <v/>
      </c>
      <c r="V76" s="155" t="str">
        <f t="shared" si="1"/>
        <v/>
      </c>
      <c r="W76" s="149"/>
      <c r="X76" s="749" t="str">
        <f>IF($C76=0,"",SUMIFS(INPUT_DATA!AU:AU,INPUT_DATA!$A:$A,$C76,INPUT_DATA!$C:$C,"D"))</f>
        <v/>
      </c>
      <c r="Y76" s="761" t="str">
        <f>IF($C76=0,"",SUMIFS(INPUT_DATA!AV:AV,INPUT_DATA!$A:$A,$C76,INPUT_DATA!$C:$C,"D"))</f>
        <v/>
      </c>
      <c r="Z76" s="761" t="str">
        <f>IF($C76=0,"",SUMIFS(INPUT_DATA!AW:AW,INPUT_DATA!$A:$A,$C76,INPUT_DATA!$C:$C,"D"))</f>
        <v/>
      </c>
      <c r="AA76" s="762" t="str">
        <f t="shared" si="2"/>
        <v/>
      </c>
      <c r="AB76" s="761" t="str">
        <f>IF($C76=0,"",SUMIFS(INPUT_DATA!AX:AX,INPUT_DATA!$A:$A,$C76,INPUT_DATA!$C:$C,"D"))</f>
        <v/>
      </c>
      <c r="AC76" s="761" t="str">
        <f>IF($C76=0,"",SUMIFS(INPUT_DATA!AY:AY,INPUT_DATA!$A:$A,$C76,INPUT_DATA!$C:$C,"D"))</f>
        <v/>
      </c>
      <c r="AD76" s="761" t="str">
        <f>IF($C76=0,"",SUMIFS(INPUT_DATA!AZ:AZ,INPUT_DATA!$A:$A,$C76,INPUT_DATA!$C:$C,"D"))</f>
        <v/>
      </c>
      <c r="AE76" s="761" t="str">
        <f>IF($C76=0,"",SUMIFS(INPUT_DATA!BA:BA,INPUT_DATA!$A:$A,$C76,INPUT_DATA!$C:$C,"D"))</f>
        <v/>
      </c>
      <c r="AF76" s="761" t="str">
        <f>IF($C76=0,"",SUMIFS(INPUT_DATA!BB:BB,INPUT_DATA!$A:$A,$C76,INPUT_DATA!$C:$C,"D"))</f>
        <v/>
      </c>
      <c r="AG76" s="761" t="str">
        <f>IF($C76=0,"",SUMIFS(INPUT_DATA!BC:BC,INPUT_DATA!$A:$A,$C76,INPUT_DATA!$C:$C,"D"))</f>
        <v/>
      </c>
      <c r="AH76" s="761" t="str">
        <f>IF($C76=0,"",SUMIFS(INPUT_DATA!BD:BD,INPUT_DATA!$A:$A,$C76,INPUT_DATA!$C:$C,"D"))</f>
        <v/>
      </c>
      <c r="AI76" s="761" t="str">
        <f>IF($C76=0,"",SUMIFS(INPUT_DATA!BE:BE,INPUT_DATA!$A:$A,$C76,INPUT_DATA!$C:$C,"D"))</f>
        <v/>
      </c>
      <c r="AJ76" s="314" t="str">
        <f t="shared" si="3"/>
        <v/>
      </c>
      <c r="AK76" s="769" t="str">
        <f>IF($C76=0,"",SUMIFS(INPUT_DATA!BG:BG,INPUT_DATA!$A:$A,$C76,INPUT_DATA!$C:$C,"D"))</f>
        <v/>
      </c>
      <c r="AL76" s="769" t="str">
        <f>IF($C76=0,"",SUMIFS(INPUT_DATA!BH:BH,INPUT_DATA!$A:$A,$C76,INPUT_DATA!$C:$C,"D"))</f>
        <v/>
      </c>
      <c r="AM76" s="769" t="str">
        <f>IF($C76=0,"",SUMIFS(INPUT_DATA!BI:BI,INPUT_DATA!$A:$A,$C76,INPUT_DATA!$C:$C,"D"))</f>
        <v/>
      </c>
      <c r="AN76" s="767" t="str">
        <f t="shared" si="7"/>
        <v/>
      </c>
      <c r="AO76" s="772" t="str">
        <f>IF($C76=0,"",SUMIFS(INPUT_DATA!BK:BK,INPUT_DATA!$A:$A,$C76,INPUT_DATA!$C:$C,"D"))</f>
        <v/>
      </c>
      <c r="AP76" s="354" t="str">
        <f t="shared" si="8"/>
        <v/>
      </c>
      <c r="AQ76" s="149"/>
      <c r="AS76" s="354" t="str">
        <f t="shared" si="9"/>
        <v/>
      </c>
      <c r="AU76" s="378" t="str">
        <f>IF($C76=0,"",'03 - Monthly Asset Follow up'!E80+'03 - Monthly Asset Follow up'!F80-'03 - Monthly Asset Follow up'!U80+'03 - Monthly Asset Follow up'!X80-H76)</f>
        <v/>
      </c>
      <c r="AV76" s="378" t="str">
        <f>IF($C76=0,"",'03 - Monthly Asset Follow up'!BD80+'03 - Monthly Asset Follow up'!BE80-'03 - Monthly Asset Follow up'!BT80+'03 - Monthly Asset Follow up'!BW80-AA76)</f>
        <v/>
      </c>
      <c r="AX76" s="154"/>
    </row>
    <row r="77" spans="2:50" x14ac:dyDescent="0.2">
      <c r="B77" s="753" t="str">
        <f t="shared" si="4"/>
        <v/>
      </c>
      <c r="C77" s="756">
        <f>'03 - Monthly Asset Follow up'!B81</f>
        <v>0</v>
      </c>
      <c r="D77" s="149"/>
      <c r="E77" s="749" t="str">
        <f>IF($C77=0,"",SUMIFS(INPUT_DATA!AU:AU,INPUT_DATA!$A:$A,$C77,INPUT_DATA!$C:$C,"S"))</f>
        <v/>
      </c>
      <c r="F77" s="761" t="str">
        <f>IF($C77=0,"",SUMIFS(INPUT_DATA!AV:AV,INPUT_DATA!$A:$A,$C77,INPUT_DATA!$C:$C,"S"))</f>
        <v/>
      </c>
      <c r="G77" s="761" t="str">
        <f>IF($C77=0,"",SUMIFS(INPUT_DATA!AW:AW,INPUT_DATA!$A:$A,$C77,INPUT_DATA!$C:$C,"S"))</f>
        <v/>
      </c>
      <c r="H77" s="763" t="str">
        <f t="shared" si="0"/>
        <v/>
      </c>
      <c r="I77" s="761" t="str">
        <f>IF($C77=0,"",SUMIFS(INPUT_DATA!AY:AY,INPUT_DATA!$A:$A,$C77,INPUT_DATA!$C:$C,"S"))</f>
        <v/>
      </c>
      <c r="J77" s="761" t="str">
        <f>IF($C77=0,"",SUMIFS(INPUT_DATA!AZ:AZ,INPUT_DATA!$A:$A,$C77,INPUT_DATA!$C:$C,"S"))</f>
        <v/>
      </c>
      <c r="K77" s="761" t="str">
        <f>IF($C77=0,"",SUMIFS(INPUT_DATA!BA:BA,INPUT_DATA!$A:$A,$C77,INPUT_DATA!$C:$C,"S"))</f>
        <v/>
      </c>
      <c r="L77" s="761" t="str">
        <f>IF($C77=0,"",SUMIFS(INPUT_DATA!BB:BB,INPUT_DATA!$A:$A,$C77,INPUT_DATA!$C:$C,"S"))</f>
        <v/>
      </c>
      <c r="M77" s="761" t="str">
        <f>IF($C77=0,"",SUMIFS(INPUT_DATA!BC:BC,INPUT_DATA!$A:$A,$C77,INPUT_DATA!$C:$C,"S"))</f>
        <v/>
      </c>
      <c r="N77" s="761" t="str">
        <f>IF($C77=0,"",SUMIFS(INPUT_DATA!BD:BD,INPUT_DATA!$A:$A,$C77,INPUT_DATA!$C:$C,"S"))</f>
        <v/>
      </c>
      <c r="O77" s="761" t="str">
        <f>IF($C77=0,"",SUMIFS(INPUT_DATA!BE:BE,INPUT_DATA!$A:$A,$C77,INPUT_DATA!$C:$C,"S"))</f>
        <v/>
      </c>
      <c r="P77" s="761" t="str">
        <f>IF($C77=0,"",SUMIFS(INPUT_DATA!BF:BF,INPUT_DATA!$A:$A,$C77,INPUT_DATA!$C:$C,"S"))</f>
        <v/>
      </c>
      <c r="Q77" s="767" t="str">
        <f t="shared" si="5"/>
        <v/>
      </c>
      <c r="R77" s="769" t="str">
        <f>IF($C77=0,"",SUMIFS(INPUT_DATA!BH:BH,INPUT_DATA!$A:$A,$C77,INPUT_DATA!$C:$C,"S"))</f>
        <v/>
      </c>
      <c r="S77" s="769" t="str">
        <f>IF($C77=0,"",SUMIFS(INPUT_DATA!BI:BI,INPUT_DATA!$A:$A,$C77,INPUT_DATA!$C:$C,"S"))</f>
        <v/>
      </c>
      <c r="T77" s="767" t="str">
        <f t="shared" si="6"/>
        <v/>
      </c>
      <c r="U77" s="772" t="str">
        <f>IF($C77=0,"",SUMIFS(INPUT_DATA!BL:BL,INPUT_DATA!$A:$A,$C77,INPUT_DATA!$C:$C,"S"))</f>
        <v/>
      </c>
      <c r="V77" s="155" t="str">
        <f t="shared" si="1"/>
        <v/>
      </c>
      <c r="W77" s="149"/>
      <c r="X77" s="749" t="str">
        <f>IF($C77=0,"",SUMIFS(INPUT_DATA!AU:AU,INPUT_DATA!$A:$A,$C77,INPUT_DATA!$C:$C,"D"))</f>
        <v/>
      </c>
      <c r="Y77" s="761" t="str">
        <f>IF($C77=0,"",SUMIFS(INPUT_DATA!AV:AV,INPUT_DATA!$A:$A,$C77,INPUT_DATA!$C:$C,"D"))</f>
        <v/>
      </c>
      <c r="Z77" s="761" t="str">
        <f>IF($C77=0,"",SUMIFS(INPUT_DATA!AW:AW,INPUT_DATA!$A:$A,$C77,INPUT_DATA!$C:$C,"D"))</f>
        <v/>
      </c>
      <c r="AA77" s="762" t="str">
        <f t="shared" si="2"/>
        <v/>
      </c>
      <c r="AB77" s="761" t="str">
        <f>IF($C77=0,"",SUMIFS(INPUT_DATA!AX:AX,INPUT_DATA!$A:$A,$C77,INPUT_DATA!$C:$C,"D"))</f>
        <v/>
      </c>
      <c r="AC77" s="761" t="str">
        <f>IF($C77=0,"",SUMIFS(INPUT_DATA!AY:AY,INPUT_DATA!$A:$A,$C77,INPUT_DATA!$C:$C,"D"))</f>
        <v/>
      </c>
      <c r="AD77" s="761" t="str">
        <f>IF($C77=0,"",SUMIFS(INPUT_DATA!AZ:AZ,INPUT_DATA!$A:$A,$C77,INPUT_DATA!$C:$C,"D"))</f>
        <v/>
      </c>
      <c r="AE77" s="761" t="str">
        <f>IF($C77=0,"",SUMIFS(INPUT_DATA!BA:BA,INPUT_DATA!$A:$A,$C77,INPUT_DATA!$C:$C,"D"))</f>
        <v/>
      </c>
      <c r="AF77" s="761" t="str">
        <f>IF($C77=0,"",SUMIFS(INPUT_DATA!BB:BB,INPUT_DATA!$A:$A,$C77,INPUT_DATA!$C:$C,"D"))</f>
        <v/>
      </c>
      <c r="AG77" s="761" t="str">
        <f>IF($C77=0,"",SUMIFS(INPUT_DATA!BC:BC,INPUT_DATA!$A:$A,$C77,INPUT_DATA!$C:$C,"D"))</f>
        <v/>
      </c>
      <c r="AH77" s="761" t="str">
        <f>IF($C77=0,"",SUMIFS(INPUT_DATA!BD:BD,INPUT_DATA!$A:$A,$C77,INPUT_DATA!$C:$C,"D"))</f>
        <v/>
      </c>
      <c r="AI77" s="761" t="str">
        <f>IF($C77=0,"",SUMIFS(INPUT_DATA!BE:BE,INPUT_DATA!$A:$A,$C77,INPUT_DATA!$C:$C,"D"))</f>
        <v/>
      </c>
      <c r="AJ77" s="314" t="str">
        <f t="shared" si="3"/>
        <v/>
      </c>
      <c r="AK77" s="769" t="str">
        <f>IF($C77=0,"",SUMIFS(INPUT_DATA!BG:BG,INPUT_DATA!$A:$A,$C77,INPUT_DATA!$C:$C,"D"))</f>
        <v/>
      </c>
      <c r="AL77" s="769" t="str">
        <f>IF($C77=0,"",SUMIFS(INPUT_DATA!BH:BH,INPUT_DATA!$A:$A,$C77,INPUT_DATA!$C:$C,"D"))</f>
        <v/>
      </c>
      <c r="AM77" s="769" t="str">
        <f>IF($C77=0,"",SUMIFS(INPUT_DATA!BI:BI,INPUT_DATA!$A:$A,$C77,INPUT_DATA!$C:$C,"D"))</f>
        <v/>
      </c>
      <c r="AN77" s="767" t="str">
        <f t="shared" si="7"/>
        <v/>
      </c>
      <c r="AO77" s="772" t="str">
        <f>IF($C77=0,"",SUMIFS(INPUT_DATA!BK:BK,INPUT_DATA!$A:$A,$C77,INPUT_DATA!$C:$C,"D"))</f>
        <v/>
      </c>
      <c r="AP77" s="354" t="str">
        <f t="shared" si="8"/>
        <v/>
      </c>
      <c r="AQ77" s="149"/>
      <c r="AS77" s="354" t="str">
        <f t="shared" si="9"/>
        <v/>
      </c>
      <c r="AU77" s="378" t="str">
        <f>IF($C77=0,"",'03 - Monthly Asset Follow up'!E81+'03 - Monthly Asset Follow up'!F81-'03 - Monthly Asset Follow up'!U81+'03 - Monthly Asset Follow up'!X81-H77)</f>
        <v/>
      </c>
      <c r="AV77" s="378" t="str">
        <f>IF($C77=0,"",'03 - Monthly Asset Follow up'!BD81+'03 - Monthly Asset Follow up'!BE81-'03 - Monthly Asset Follow up'!BT81+'03 - Monthly Asset Follow up'!BW81-AA77)</f>
        <v/>
      </c>
      <c r="AX77" s="154"/>
    </row>
    <row r="78" spans="2:50" x14ac:dyDescent="0.2">
      <c r="B78" s="753" t="str">
        <f t="shared" si="4"/>
        <v/>
      </c>
      <c r="C78" s="756">
        <f>'03 - Monthly Asset Follow up'!B82</f>
        <v>0</v>
      </c>
      <c r="D78" s="149"/>
      <c r="E78" s="749" t="str">
        <f>IF($C78=0,"",SUMIFS(INPUT_DATA!AU:AU,INPUT_DATA!$A:$A,$C78,INPUT_DATA!$C:$C,"S"))</f>
        <v/>
      </c>
      <c r="F78" s="761" t="str">
        <f>IF($C78=0,"",SUMIFS(INPUT_DATA!AV:AV,INPUT_DATA!$A:$A,$C78,INPUT_DATA!$C:$C,"S"))</f>
        <v/>
      </c>
      <c r="G78" s="761" t="str">
        <f>IF($C78=0,"",SUMIFS(INPUT_DATA!AW:AW,INPUT_DATA!$A:$A,$C78,INPUT_DATA!$C:$C,"S"))</f>
        <v/>
      </c>
      <c r="H78" s="763" t="str">
        <f t="shared" ref="H78:H121" si="10">IF($C78=0,"",E78+F78+G78)</f>
        <v/>
      </c>
      <c r="I78" s="761" t="str">
        <f>IF($C78=0,"",SUMIFS(INPUT_DATA!AY:AY,INPUT_DATA!$A:$A,$C78,INPUT_DATA!$C:$C,"S"))</f>
        <v/>
      </c>
      <c r="J78" s="761" t="str">
        <f>IF($C78=0,"",SUMIFS(INPUT_DATA!AZ:AZ,INPUT_DATA!$A:$A,$C78,INPUT_DATA!$C:$C,"S"))</f>
        <v/>
      </c>
      <c r="K78" s="761" t="str">
        <f>IF($C78=0,"",SUMIFS(INPUT_DATA!BA:BA,INPUT_DATA!$A:$A,$C78,INPUT_DATA!$C:$C,"S"))</f>
        <v/>
      </c>
      <c r="L78" s="761" t="str">
        <f>IF($C78=0,"",SUMIFS(INPUT_DATA!BB:BB,INPUT_DATA!$A:$A,$C78,INPUT_DATA!$C:$C,"S"))</f>
        <v/>
      </c>
      <c r="M78" s="761" t="str">
        <f>IF($C78=0,"",SUMIFS(INPUT_DATA!BC:BC,INPUT_DATA!$A:$A,$C78,INPUT_DATA!$C:$C,"S"))</f>
        <v/>
      </c>
      <c r="N78" s="761" t="str">
        <f>IF($C78=0,"",SUMIFS(INPUT_DATA!BD:BD,INPUT_DATA!$A:$A,$C78,INPUT_DATA!$C:$C,"S"))</f>
        <v/>
      </c>
      <c r="O78" s="761" t="str">
        <f>IF($C78=0,"",SUMIFS(INPUT_DATA!BE:BE,INPUT_DATA!$A:$A,$C78,INPUT_DATA!$C:$C,"S"))</f>
        <v/>
      </c>
      <c r="P78" s="761" t="str">
        <f>IF($C78=0,"",SUMIFS(INPUT_DATA!BF:BF,INPUT_DATA!$A:$A,$C78,INPUT_DATA!$C:$C,"S"))</f>
        <v/>
      </c>
      <c r="Q78" s="767" t="str">
        <f t="shared" si="5"/>
        <v/>
      </c>
      <c r="R78" s="769" t="str">
        <f>IF($C78=0,"",SUMIFS(INPUT_DATA!BH:BH,INPUT_DATA!$A:$A,$C78,INPUT_DATA!$C:$C,"S"))</f>
        <v/>
      </c>
      <c r="S78" s="769" t="str">
        <f>IF($C78=0,"",SUMIFS(INPUT_DATA!BI:BI,INPUT_DATA!$A:$A,$C78,INPUT_DATA!$C:$C,"S"))</f>
        <v/>
      </c>
      <c r="T78" s="767" t="str">
        <f t="shared" si="6"/>
        <v/>
      </c>
      <c r="U78" s="772" t="str">
        <f>IF($C78=0,"",SUMIFS(INPUT_DATA!BL:BL,INPUT_DATA!$A:$A,$C78,INPUT_DATA!$C:$C,"S"))</f>
        <v/>
      </c>
      <c r="V78" s="155" t="str">
        <f t="shared" ref="V78:V121" si="11">IF($C78=0,"",T78-U78)</f>
        <v/>
      </c>
      <c r="W78" s="149"/>
      <c r="X78" s="749" t="str">
        <f>IF($C78=0,"",SUMIFS(INPUT_DATA!AU:AU,INPUT_DATA!$A:$A,$C78,INPUT_DATA!$C:$C,"D"))</f>
        <v/>
      </c>
      <c r="Y78" s="761" t="str">
        <f>IF($C78=0,"",SUMIFS(INPUT_DATA!AV:AV,INPUT_DATA!$A:$A,$C78,INPUT_DATA!$C:$C,"D"))</f>
        <v/>
      </c>
      <c r="Z78" s="761" t="str">
        <f>IF($C78=0,"",SUMIFS(INPUT_DATA!AW:AW,INPUT_DATA!$A:$A,$C78,INPUT_DATA!$C:$C,"D"))</f>
        <v/>
      </c>
      <c r="AA78" s="762" t="str">
        <f t="shared" ref="AA78:AA121" si="12">IF($C78=0,"",X78+Y78+Z78)</f>
        <v/>
      </c>
      <c r="AB78" s="761" t="str">
        <f>IF($C78=0,"",SUMIFS(INPUT_DATA!AX:AX,INPUT_DATA!$A:$A,$C78,INPUT_DATA!$C:$C,"D"))</f>
        <v/>
      </c>
      <c r="AC78" s="761" t="str">
        <f>IF($C78=0,"",SUMIFS(INPUT_DATA!AY:AY,INPUT_DATA!$A:$A,$C78,INPUT_DATA!$C:$C,"D"))</f>
        <v/>
      </c>
      <c r="AD78" s="761" t="str">
        <f>IF($C78=0,"",SUMIFS(INPUT_DATA!AZ:AZ,INPUT_DATA!$A:$A,$C78,INPUT_DATA!$C:$C,"D"))</f>
        <v/>
      </c>
      <c r="AE78" s="761" t="str">
        <f>IF($C78=0,"",SUMIFS(INPUT_DATA!BA:BA,INPUT_DATA!$A:$A,$C78,INPUT_DATA!$C:$C,"D"))</f>
        <v/>
      </c>
      <c r="AF78" s="761" t="str">
        <f>IF($C78=0,"",SUMIFS(INPUT_DATA!BB:BB,INPUT_DATA!$A:$A,$C78,INPUT_DATA!$C:$C,"D"))</f>
        <v/>
      </c>
      <c r="AG78" s="761" t="str">
        <f>IF($C78=0,"",SUMIFS(INPUT_DATA!BC:BC,INPUT_DATA!$A:$A,$C78,INPUT_DATA!$C:$C,"D"))</f>
        <v/>
      </c>
      <c r="AH78" s="761" t="str">
        <f>IF($C78=0,"",SUMIFS(INPUT_DATA!BD:BD,INPUT_DATA!$A:$A,$C78,INPUT_DATA!$C:$C,"D"))</f>
        <v/>
      </c>
      <c r="AI78" s="761" t="str">
        <f>IF($C78=0,"",SUMIFS(INPUT_DATA!BE:BE,INPUT_DATA!$A:$A,$C78,INPUT_DATA!$C:$C,"D"))</f>
        <v/>
      </c>
      <c r="AJ78" s="314" t="str">
        <f t="shared" ref="AJ78:AJ121" si="13">IF($C78=0,"",AB78+AC78+AD78+AE78+AF78+AG78+AH78+AI78)</f>
        <v/>
      </c>
      <c r="AK78" s="769" t="str">
        <f>IF($C78=0,"",SUMIFS(INPUT_DATA!BG:BG,INPUT_DATA!$A:$A,$C78,INPUT_DATA!$C:$C,"D"))</f>
        <v/>
      </c>
      <c r="AL78" s="769" t="str">
        <f>IF($C78=0,"",SUMIFS(INPUT_DATA!BH:BH,INPUT_DATA!$A:$A,$C78,INPUT_DATA!$C:$C,"D"))</f>
        <v/>
      </c>
      <c r="AM78" s="769" t="str">
        <f>IF($C78=0,"",SUMIFS(INPUT_DATA!BI:BI,INPUT_DATA!$A:$A,$C78,INPUT_DATA!$C:$C,"D"))</f>
        <v/>
      </c>
      <c r="AN78" s="767" t="str">
        <f t="shared" si="7"/>
        <v/>
      </c>
      <c r="AO78" s="772" t="str">
        <f>IF($C78=0,"",SUMIFS(INPUT_DATA!BK:BK,INPUT_DATA!$A:$A,$C78,INPUT_DATA!$C:$C,"D"))</f>
        <v/>
      </c>
      <c r="AP78" s="354" t="str">
        <f t="shared" si="8"/>
        <v/>
      </c>
      <c r="AQ78" s="149"/>
      <c r="AS78" s="354" t="str">
        <f t="shared" si="9"/>
        <v/>
      </c>
      <c r="AU78" s="378" t="str">
        <f>IF($C78=0,"",'03 - Monthly Asset Follow up'!E82+'03 - Monthly Asset Follow up'!F82-'03 - Monthly Asset Follow up'!U82+'03 - Monthly Asset Follow up'!X82-H78)</f>
        <v/>
      </c>
      <c r="AV78" s="378" t="str">
        <f>IF($C78=0,"",'03 - Monthly Asset Follow up'!BD82+'03 - Monthly Asset Follow up'!BE82-'03 - Monthly Asset Follow up'!BT82+'03 - Monthly Asset Follow up'!BW82-AA78)</f>
        <v/>
      </c>
      <c r="AX78" s="154"/>
    </row>
    <row r="79" spans="2:50" x14ac:dyDescent="0.2">
      <c r="B79" s="753" t="str">
        <f t="shared" ref="B79:B121" si="14">IF(C80=0,"",C80+1)</f>
        <v/>
      </c>
      <c r="C79" s="756">
        <f>'03 - Monthly Asset Follow up'!B83</f>
        <v>0</v>
      </c>
      <c r="D79" s="149"/>
      <c r="E79" s="749" t="str">
        <f>IF($C79=0,"",SUMIFS(INPUT_DATA!AU:AU,INPUT_DATA!$A:$A,$C79,INPUT_DATA!$C:$C,"S"))</f>
        <v/>
      </c>
      <c r="F79" s="761" t="str">
        <f>IF($C79=0,"",SUMIFS(INPUT_DATA!AV:AV,INPUT_DATA!$A:$A,$C79,INPUT_DATA!$C:$C,"S"))</f>
        <v/>
      </c>
      <c r="G79" s="761" t="str">
        <f>IF($C79=0,"",SUMIFS(INPUT_DATA!AW:AW,INPUT_DATA!$A:$A,$C79,INPUT_DATA!$C:$C,"S"))</f>
        <v/>
      </c>
      <c r="H79" s="763" t="str">
        <f t="shared" si="10"/>
        <v/>
      </c>
      <c r="I79" s="761" t="str">
        <f>IF($C79=0,"",SUMIFS(INPUT_DATA!AY:AY,INPUT_DATA!$A:$A,$C79,INPUT_DATA!$C:$C,"S"))</f>
        <v/>
      </c>
      <c r="J79" s="761" t="str">
        <f>IF($C79=0,"",SUMIFS(INPUT_DATA!AZ:AZ,INPUT_DATA!$A:$A,$C79,INPUT_DATA!$C:$C,"S"))</f>
        <v/>
      </c>
      <c r="K79" s="761" t="str">
        <f>IF($C79=0,"",SUMIFS(INPUT_DATA!BA:BA,INPUT_DATA!$A:$A,$C79,INPUT_DATA!$C:$C,"S"))</f>
        <v/>
      </c>
      <c r="L79" s="761" t="str">
        <f>IF($C79=0,"",SUMIFS(INPUT_DATA!BB:BB,INPUT_DATA!$A:$A,$C79,INPUT_DATA!$C:$C,"S"))</f>
        <v/>
      </c>
      <c r="M79" s="761" t="str">
        <f>IF($C79=0,"",SUMIFS(INPUT_DATA!BC:BC,INPUT_DATA!$A:$A,$C79,INPUT_DATA!$C:$C,"S"))</f>
        <v/>
      </c>
      <c r="N79" s="761" t="str">
        <f>IF($C79=0,"",SUMIFS(INPUT_DATA!BD:BD,INPUT_DATA!$A:$A,$C79,INPUT_DATA!$C:$C,"S"))</f>
        <v/>
      </c>
      <c r="O79" s="761" t="str">
        <f>IF($C79=0,"",SUMIFS(INPUT_DATA!BE:BE,INPUT_DATA!$A:$A,$C79,INPUT_DATA!$C:$C,"S"))</f>
        <v/>
      </c>
      <c r="P79" s="761" t="str">
        <f>IF($C79=0,"",SUMIFS(INPUT_DATA!BF:BF,INPUT_DATA!$A:$A,$C79,INPUT_DATA!$C:$C,"S"))</f>
        <v/>
      </c>
      <c r="Q79" s="767" t="str">
        <f t="shared" ref="Q79:Q121" si="15">IF($C79=0,"",I79+J79+K79+L79+M79+N79+O79+P79)</f>
        <v/>
      </c>
      <c r="R79" s="769" t="str">
        <f>IF($C79=0,"",SUMIFS(INPUT_DATA!BH:BH,INPUT_DATA!$A:$A,$C79,INPUT_DATA!$C:$C,"S"))</f>
        <v/>
      </c>
      <c r="S79" s="769" t="str">
        <f>IF($C79=0,"",SUMIFS(INPUT_DATA!BI:BI,INPUT_DATA!$A:$A,$C79,INPUT_DATA!$C:$C,"S"))</f>
        <v/>
      </c>
      <c r="T79" s="767" t="str">
        <f t="shared" ref="T79:T121" si="16">IF($C79=0,"",H79+Q79+R79-S79)</f>
        <v/>
      </c>
      <c r="U79" s="772" t="str">
        <f>IF($C79=0,"",SUMIFS(INPUT_DATA!BL:BL,INPUT_DATA!$A:$A,$C79,INPUT_DATA!$C:$C,"S"))</f>
        <v/>
      </c>
      <c r="V79" s="155" t="str">
        <f t="shared" si="11"/>
        <v/>
      </c>
      <c r="W79" s="149"/>
      <c r="X79" s="749" t="str">
        <f>IF($C79=0,"",SUMIFS(INPUT_DATA!AU:AU,INPUT_DATA!$A:$A,$C79,INPUT_DATA!$C:$C,"D"))</f>
        <v/>
      </c>
      <c r="Y79" s="761" t="str">
        <f>IF($C79=0,"",SUMIFS(INPUT_DATA!AV:AV,INPUT_DATA!$A:$A,$C79,INPUT_DATA!$C:$C,"D"))</f>
        <v/>
      </c>
      <c r="Z79" s="761" t="str">
        <f>IF($C79=0,"",SUMIFS(INPUT_DATA!AW:AW,INPUT_DATA!$A:$A,$C79,INPUT_DATA!$C:$C,"D"))</f>
        <v/>
      </c>
      <c r="AA79" s="762" t="str">
        <f t="shared" si="12"/>
        <v/>
      </c>
      <c r="AB79" s="761" t="str">
        <f>IF($C79=0,"",SUMIFS(INPUT_DATA!AX:AX,INPUT_DATA!$A:$A,$C79,INPUT_DATA!$C:$C,"D"))</f>
        <v/>
      </c>
      <c r="AC79" s="761" t="str">
        <f>IF($C79=0,"",SUMIFS(INPUT_DATA!AY:AY,INPUT_DATA!$A:$A,$C79,INPUT_DATA!$C:$C,"D"))</f>
        <v/>
      </c>
      <c r="AD79" s="761" t="str">
        <f>IF($C79=0,"",SUMIFS(INPUT_DATA!AZ:AZ,INPUT_DATA!$A:$A,$C79,INPUT_DATA!$C:$C,"D"))</f>
        <v/>
      </c>
      <c r="AE79" s="761" t="str">
        <f>IF($C79=0,"",SUMIFS(INPUT_DATA!BA:BA,INPUT_DATA!$A:$A,$C79,INPUT_DATA!$C:$C,"D"))</f>
        <v/>
      </c>
      <c r="AF79" s="761" t="str">
        <f>IF($C79=0,"",SUMIFS(INPUT_DATA!BB:BB,INPUT_DATA!$A:$A,$C79,INPUT_DATA!$C:$C,"D"))</f>
        <v/>
      </c>
      <c r="AG79" s="761" t="str">
        <f>IF($C79=0,"",SUMIFS(INPUT_DATA!BC:BC,INPUT_DATA!$A:$A,$C79,INPUT_DATA!$C:$C,"D"))</f>
        <v/>
      </c>
      <c r="AH79" s="761" t="str">
        <f>IF($C79=0,"",SUMIFS(INPUT_DATA!BD:BD,INPUT_DATA!$A:$A,$C79,INPUT_DATA!$C:$C,"D"))</f>
        <v/>
      </c>
      <c r="AI79" s="761" t="str">
        <f>IF($C79=0,"",SUMIFS(INPUT_DATA!BE:BE,INPUT_DATA!$A:$A,$C79,INPUT_DATA!$C:$C,"D"))</f>
        <v/>
      </c>
      <c r="AJ79" s="314" t="str">
        <f t="shared" si="13"/>
        <v/>
      </c>
      <c r="AK79" s="769" t="str">
        <f>IF($C79=0,"",SUMIFS(INPUT_DATA!BG:BG,INPUT_DATA!$A:$A,$C79,INPUT_DATA!$C:$C,"D"))</f>
        <v/>
      </c>
      <c r="AL79" s="769" t="str">
        <f>IF($C79=0,"",SUMIFS(INPUT_DATA!BH:BH,INPUT_DATA!$A:$A,$C79,INPUT_DATA!$C:$C,"D"))</f>
        <v/>
      </c>
      <c r="AM79" s="769" t="str">
        <f>IF($C79=0,"",SUMIFS(INPUT_DATA!BI:BI,INPUT_DATA!$A:$A,$C79,INPUT_DATA!$C:$C,"D"))</f>
        <v/>
      </c>
      <c r="AN79" s="767" t="str">
        <f t="shared" ref="AN79:AN121" si="17">IF($C79=0,"",AA79+AJ79+AK79-AL79-AM79)</f>
        <v/>
      </c>
      <c r="AO79" s="772" t="str">
        <f>IF($C79=0,"",SUMIFS(INPUT_DATA!BK:BK,INPUT_DATA!$A:$A,$C79,INPUT_DATA!$C:$C,"D"))</f>
        <v/>
      </c>
      <c r="AP79" s="354" t="str">
        <f t="shared" ref="AP79:AP121" si="18">IF($C79=0,"",AN79-AO79)</f>
        <v/>
      </c>
      <c r="AQ79" s="149"/>
      <c r="AS79" s="354" t="str">
        <f t="shared" ref="AS79:AS121" si="19">IF($C79=0,"",T79+AO79)</f>
        <v/>
      </c>
      <c r="AU79" s="378" t="str">
        <f>IF($C79=0,"",'03 - Monthly Asset Follow up'!E83+'03 - Monthly Asset Follow up'!F83-'03 - Monthly Asset Follow up'!U83+'03 - Monthly Asset Follow up'!X83-H79)</f>
        <v/>
      </c>
      <c r="AV79" s="378" t="str">
        <f>IF($C79=0,"",'03 - Monthly Asset Follow up'!BD83+'03 - Monthly Asset Follow up'!BE83-'03 - Monthly Asset Follow up'!BT83+'03 - Monthly Asset Follow up'!BW83-AA79)</f>
        <v/>
      </c>
      <c r="AX79" s="154"/>
    </row>
    <row r="80" spans="2:50" x14ac:dyDescent="0.2">
      <c r="B80" s="753" t="str">
        <f t="shared" si="14"/>
        <v/>
      </c>
      <c r="C80" s="756">
        <f>'03 - Monthly Asset Follow up'!B84</f>
        <v>0</v>
      </c>
      <c r="D80" s="149"/>
      <c r="E80" s="749" t="str">
        <f>IF($C80=0,"",SUMIFS(INPUT_DATA!AU:AU,INPUT_DATA!$A:$A,$C80,INPUT_DATA!$C:$C,"S"))</f>
        <v/>
      </c>
      <c r="F80" s="761" t="str">
        <f>IF($C80=0,"",SUMIFS(INPUT_DATA!AV:AV,INPUT_DATA!$A:$A,$C80,INPUT_DATA!$C:$C,"S"))</f>
        <v/>
      </c>
      <c r="G80" s="761" t="str">
        <f>IF($C80=0,"",SUMIFS(INPUT_DATA!AW:AW,INPUT_DATA!$A:$A,$C80,INPUT_DATA!$C:$C,"S"))</f>
        <v/>
      </c>
      <c r="H80" s="763" t="str">
        <f t="shared" si="10"/>
        <v/>
      </c>
      <c r="I80" s="761" t="str">
        <f>IF($C80=0,"",SUMIFS(INPUT_DATA!AY:AY,INPUT_DATA!$A:$A,$C80,INPUT_DATA!$C:$C,"S"))</f>
        <v/>
      </c>
      <c r="J80" s="761" t="str">
        <f>IF($C80=0,"",SUMIFS(INPUT_DATA!AZ:AZ,INPUT_DATA!$A:$A,$C80,INPUT_DATA!$C:$C,"S"))</f>
        <v/>
      </c>
      <c r="K80" s="761" t="str">
        <f>IF($C80=0,"",SUMIFS(INPUT_DATA!BA:BA,INPUT_DATA!$A:$A,$C80,INPUT_DATA!$C:$C,"S"))</f>
        <v/>
      </c>
      <c r="L80" s="761" t="str">
        <f>IF($C80=0,"",SUMIFS(INPUT_DATA!BB:BB,INPUT_DATA!$A:$A,$C80,INPUT_DATA!$C:$C,"S"))</f>
        <v/>
      </c>
      <c r="M80" s="761" t="str">
        <f>IF($C80=0,"",SUMIFS(INPUT_DATA!BC:BC,INPUT_DATA!$A:$A,$C80,INPUT_DATA!$C:$C,"S"))</f>
        <v/>
      </c>
      <c r="N80" s="761" t="str">
        <f>IF($C80=0,"",SUMIFS(INPUT_DATA!BD:BD,INPUT_DATA!$A:$A,$C80,INPUT_DATA!$C:$C,"S"))</f>
        <v/>
      </c>
      <c r="O80" s="761" t="str">
        <f>IF($C80=0,"",SUMIFS(INPUT_DATA!BE:BE,INPUT_DATA!$A:$A,$C80,INPUT_DATA!$C:$C,"S"))</f>
        <v/>
      </c>
      <c r="P80" s="761" t="str">
        <f>IF($C80=0,"",SUMIFS(INPUT_DATA!BF:BF,INPUT_DATA!$A:$A,$C80,INPUT_DATA!$C:$C,"S"))</f>
        <v/>
      </c>
      <c r="Q80" s="767" t="str">
        <f t="shared" si="15"/>
        <v/>
      </c>
      <c r="R80" s="769" t="str">
        <f>IF($C80=0,"",SUMIFS(INPUT_DATA!BH:BH,INPUT_DATA!$A:$A,$C80,INPUT_DATA!$C:$C,"S"))</f>
        <v/>
      </c>
      <c r="S80" s="769" t="str">
        <f>IF($C80=0,"",SUMIFS(INPUT_DATA!BI:BI,INPUT_DATA!$A:$A,$C80,INPUT_DATA!$C:$C,"S"))</f>
        <v/>
      </c>
      <c r="T80" s="767" t="str">
        <f t="shared" si="16"/>
        <v/>
      </c>
      <c r="U80" s="772" t="str">
        <f>IF($C80=0,"",SUMIFS(INPUT_DATA!BL:BL,INPUT_DATA!$A:$A,$C80,INPUT_DATA!$C:$C,"S"))</f>
        <v/>
      </c>
      <c r="V80" s="155" t="str">
        <f t="shared" si="11"/>
        <v/>
      </c>
      <c r="W80" s="149"/>
      <c r="X80" s="749" t="str">
        <f>IF($C80=0,"",SUMIFS(INPUT_DATA!AU:AU,INPUT_DATA!$A:$A,$C80,INPUT_DATA!$C:$C,"D"))</f>
        <v/>
      </c>
      <c r="Y80" s="761" t="str">
        <f>IF($C80=0,"",SUMIFS(INPUT_DATA!AV:AV,INPUT_DATA!$A:$A,$C80,INPUT_DATA!$C:$C,"D"))</f>
        <v/>
      </c>
      <c r="Z80" s="761" t="str">
        <f>IF($C80=0,"",SUMIFS(INPUT_DATA!AW:AW,INPUT_DATA!$A:$A,$C80,INPUT_DATA!$C:$C,"D"))</f>
        <v/>
      </c>
      <c r="AA80" s="762" t="str">
        <f t="shared" si="12"/>
        <v/>
      </c>
      <c r="AB80" s="761" t="str">
        <f>IF($C80=0,"",SUMIFS(INPUT_DATA!AX:AX,INPUT_DATA!$A:$A,$C80,INPUT_DATA!$C:$C,"D"))</f>
        <v/>
      </c>
      <c r="AC80" s="761" t="str">
        <f>IF($C80=0,"",SUMIFS(INPUT_DATA!AY:AY,INPUT_DATA!$A:$A,$C80,INPUT_DATA!$C:$C,"D"))</f>
        <v/>
      </c>
      <c r="AD80" s="761" t="str">
        <f>IF($C80=0,"",SUMIFS(INPUT_DATA!AZ:AZ,INPUT_DATA!$A:$A,$C80,INPUT_DATA!$C:$C,"D"))</f>
        <v/>
      </c>
      <c r="AE80" s="761" t="str">
        <f>IF($C80=0,"",SUMIFS(INPUT_DATA!BA:BA,INPUT_DATA!$A:$A,$C80,INPUT_DATA!$C:$C,"D"))</f>
        <v/>
      </c>
      <c r="AF80" s="761" t="str">
        <f>IF($C80=0,"",SUMIFS(INPUT_DATA!BB:BB,INPUT_DATA!$A:$A,$C80,INPUT_DATA!$C:$C,"D"))</f>
        <v/>
      </c>
      <c r="AG80" s="761" t="str">
        <f>IF($C80=0,"",SUMIFS(INPUT_DATA!BC:BC,INPUT_DATA!$A:$A,$C80,INPUT_DATA!$C:$C,"D"))</f>
        <v/>
      </c>
      <c r="AH80" s="761" t="str">
        <f>IF($C80=0,"",SUMIFS(INPUT_DATA!BD:BD,INPUT_DATA!$A:$A,$C80,INPUT_DATA!$C:$C,"D"))</f>
        <v/>
      </c>
      <c r="AI80" s="761" t="str">
        <f>IF($C80=0,"",SUMIFS(INPUT_DATA!BE:BE,INPUT_DATA!$A:$A,$C80,INPUT_DATA!$C:$C,"D"))</f>
        <v/>
      </c>
      <c r="AJ80" s="314" t="str">
        <f t="shared" si="13"/>
        <v/>
      </c>
      <c r="AK80" s="769" t="str">
        <f>IF($C80=0,"",SUMIFS(INPUT_DATA!BG:BG,INPUT_DATA!$A:$A,$C80,INPUT_DATA!$C:$C,"D"))</f>
        <v/>
      </c>
      <c r="AL80" s="769" t="str">
        <f>IF($C80=0,"",SUMIFS(INPUT_DATA!BH:BH,INPUT_DATA!$A:$A,$C80,INPUT_DATA!$C:$C,"D"))</f>
        <v/>
      </c>
      <c r="AM80" s="769" t="str">
        <f>IF($C80=0,"",SUMIFS(INPUT_DATA!BI:BI,INPUT_DATA!$A:$A,$C80,INPUT_DATA!$C:$C,"D"))</f>
        <v/>
      </c>
      <c r="AN80" s="767" t="str">
        <f t="shared" si="17"/>
        <v/>
      </c>
      <c r="AO80" s="772" t="str">
        <f>IF($C80=0,"",SUMIFS(INPUT_DATA!BK:BK,INPUT_DATA!$A:$A,$C80,INPUT_DATA!$C:$C,"D"))</f>
        <v/>
      </c>
      <c r="AP80" s="354" t="str">
        <f t="shared" si="18"/>
        <v/>
      </c>
      <c r="AQ80" s="149"/>
      <c r="AS80" s="354" t="str">
        <f t="shared" si="19"/>
        <v/>
      </c>
      <c r="AU80" s="378" t="str">
        <f>IF($C80=0,"",'03 - Monthly Asset Follow up'!E84+'03 - Monthly Asset Follow up'!F84-'03 - Monthly Asset Follow up'!U84+'03 - Monthly Asset Follow up'!X84-H80)</f>
        <v/>
      </c>
      <c r="AV80" s="378" t="str">
        <f>IF($C80=0,"",'03 - Monthly Asset Follow up'!BD84+'03 - Monthly Asset Follow up'!BE84-'03 - Monthly Asset Follow up'!BT84+'03 - Monthly Asset Follow up'!BW84-AA80)</f>
        <v/>
      </c>
      <c r="AX80" s="154"/>
    </row>
    <row r="81" spans="2:50" x14ac:dyDescent="0.2">
      <c r="B81" s="753" t="str">
        <f t="shared" si="14"/>
        <v/>
      </c>
      <c r="C81" s="756">
        <f>'03 - Monthly Asset Follow up'!B85</f>
        <v>0</v>
      </c>
      <c r="D81" s="149"/>
      <c r="E81" s="749" t="str">
        <f>IF($C81=0,"",SUMIFS(INPUT_DATA!AU:AU,INPUT_DATA!$A:$A,$C81,INPUT_DATA!$C:$C,"S"))</f>
        <v/>
      </c>
      <c r="F81" s="761" t="str">
        <f>IF($C81=0,"",SUMIFS(INPUT_DATA!AV:AV,INPUT_DATA!$A:$A,$C81,INPUT_DATA!$C:$C,"S"))</f>
        <v/>
      </c>
      <c r="G81" s="761" t="str">
        <f>IF($C81=0,"",SUMIFS(INPUT_DATA!AW:AW,INPUT_DATA!$A:$A,$C81,INPUT_DATA!$C:$C,"S"))</f>
        <v/>
      </c>
      <c r="H81" s="763" t="str">
        <f t="shared" si="10"/>
        <v/>
      </c>
      <c r="I81" s="761" t="str">
        <f>IF($C81=0,"",SUMIFS(INPUT_DATA!AY:AY,INPUT_DATA!$A:$A,$C81,INPUT_DATA!$C:$C,"S"))</f>
        <v/>
      </c>
      <c r="J81" s="761" t="str">
        <f>IF($C81=0,"",SUMIFS(INPUT_DATA!AZ:AZ,INPUT_DATA!$A:$A,$C81,INPUT_DATA!$C:$C,"S"))</f>
        <v/>
      </c>
      <c r="K81" s="761" t="str">
        <f>IF($C81=0,"",SUMIFS(INPUT_DATA!BA:BA,INPUT_DATA!$A:$A,$C81,INPUT_DATA!$C:$C,"S"))</f>
        <v/>
      </c>
      <c r="L81" s="761" t="str">
        <f>IF($C81=0,"",SUMIFS(INPUT_DATA!BB:BB,INPUT_DATA!$A:$A,$C81,INPUT_DATA!$C:$C,"S"))</f>
        <v/>
      </c>
      <c r="M81" s="761" t="str">
        <f>IF($C81=0,"",SUMIFS(INPUT_DATA!BC:BC,INPUT_DATA!$A:$A,$C81,INPUT_DATA!$C:$C,"S"))</f>
        <v/>
      </c>
      <c r="N81" s="761" t="str">
        <f>IF($C81=0,"",SUMIFS(INPUT_DATA!BD:BD,INPUT_DATA!$A:$A,$C81,INPUT_DATA!$C:$C,"S"))</f>
        <v/>
      </c>
      <c r="O81" s="761" t="str">
        <f>IF($C81=0,"",SUMIFS(INPUT_DATA!BE:BE,INPUT_DATA!$A:$A,$C81,INPUT_DATA!$C:$C,"S"))</f>
        <v/>
      </c>
      <c r="P81" s="761" t="str">
        <f>IF($C81=0,"",SUMIFS(INPUT_DATA!BF:BF,INPUT_DATA!$A:$A,$C81,INPUT_DATA!$C:$C,"S"))</f>
        <v/>
      </c>
      <c r="Q81" s="767" t="str">
        <f t="shared" si="15"/>
        <v/>
      </c>
      <c r="R81" s="769" t="str">
        <f>IF($C81=0,"",SUMIFS(INPUT_DATA!BH:BH,INPUT_DATA!$A:$A,$C81,INPUT_DATA!$C:$C,"S"))</f>
        <v/>
      </c>
      <c r="S81" s="769" t="str">
        <f>IF($C81=0,"",SUMIFS(INPUT_DATA!BI:BI,INPUT_DATA!$A:$A,$C81,INPUT_DATA!$C:$C,"S"))</f>
        <v/>
      </c>
      <c r="T81" s="767" t="str">
        <f t="shared" si="16"/>
        <v/>
      </c>
      <c r="U81" s="772" t="str">
        <f>IF($C81=0,"",SUMIFS(INPUT_DATA!BL:BL,INPUT_DATA!$A:$A,$C81,INPUT_DATA!$C:$C,"S"))</f>
        <v/>
      </c>
      <c r="V81" s="155" t="str">
        <f t="shared" si="11"/>
        <v/>
      </c>
      <c r="W81" s="149"/>
      <c r="X81" s="749" t="str">
        <f>IF($C81=0,"",SUMIFS(INPUT_DATA!AU:AU,INPUT_DATA!$A:$A,$C81,INPUT_DATA!$C:$C,"D"))</f>
        <v/>
      </c>
      <c r="Y81" s="761" t="str">
        <f>IF($C81=0,"",SUMIFS(INPUT_DATA!AV:AV,INPUT_DATA!$A:$A,$C81,INPUT_DATA!$C:$C,"D"))</f>
        <v/>
      </c>
      <c r="Z81" s="761" t="str">
        <f>IF($C81=0,"",SUMIFS(INPUT_DATA!AW:AW,INPUT_DATA!$A:$A,$C81,INPUT_DATA!$C:$C,"D"))</f>
        <v/>
      </c>
      <c r="AA81" s="762" t="str">
        <f t="shared" si="12"/>
        <v/>
      </c>
      <c r="AB81" s="761" t="str">
        <f>IF($C81=0,"",SUMIFS(INPUT_DATA!AX:AX,INPUT_DATA!$A:$A,$C81,INPUT_DATA!$C:$C,"D"))</f>
        <v/>
      </c>
      <c r="AC81" s="761" t="str">
        <f>IF($C81=0,"",SUMIFS(INPUT_DATA!AY:AY,INPUT_DATA!$A:$A,$C81,INPUT_DATA!$C:$C,"D"))</f>
        <v/>
      </c>
      <c r="AD81" s="761" t="str">
        <f>IF($C81=0,"",SUMIFS(INPUT_DATA!AZ:AZ,INPUT_DATA!$A:$A,$C81,INPUT_DATA!$C:$C,"D"))</f>
        <v/>
      </c>
      <c r="AE81" s="761" t="str">
        <f>IF($C81=0,"",SUMIFS(INPUT_DATA!BA:BA,INPUT_DATA!$A:$A,$C81,INPUT_DATA!$C:$C,"D"))</f>
        <v/>
      </c>
      <c r="AF81" s="761" t="str">
        <f>IF($C81=0,"",SUMIFS(INPUT_DATA!BB:BB,INPUT_DATA!$A:$A,$C81,INPUT_DATA!$C:$C,"D"))</f>
        <v/>
      </c>
      <c r="AG81" s="761" t="str">
        <f>IF($C81=0,"",SUMIFS(INPUT_DATA!BC:BC,INPUT_DATA!$A:$A,$C81,INPUT_DATA!$C:$C,"D"))</f>
        <v/>
      </c>
      <c r="AH81" s="761" t="str">
        <f>IF($C81=0,"",SUMIFS(INPUT_DATA!BD:BD,INPUT_DATA!$A:$A,$C81,INPUT_DATA!$C:$C,"D"))</f>
        <v/>
      </c>
      <c r="AI81" s="761" t="str">
        <f>IF($C81=0,"",SUMIFS(INPUT_DATA!BE:BE,INPUT_DATA!$A:$A,$C81,INPUT_DATA!$C:$C,"D"))</f>
        <v/>
      </c>
      <c r="AJ81" s="314" t="str">
        <f t="shared" si="13"/>
        <v/>
      </c>
      <c r="AK81" s="769" t="str">
        <f>IF($C81=0,"",SUMIFS(INPUT_DATA!BG:BG,INPUT_DATA!$A:$A,$C81,INPUT_DATA!$C:$C,"D"))</f>
        <v/>
      </c>
      <c r="AL81" s="769" t="str">
        <f>IF($C81=0,"",SUMIFS(INPUT_DATA!BH:BH,INPUT_DATA!$A:$A,$C81,INPUT_DATA!$C:$C,"D"))</f>
        <v/>
      </c>
      <c r="AM81" s="769" t="str">
        <f>IF($C81=0,"",SUMIFS(INPUT_DATA!BI:BI,INPUT_DATA!$A:$A,$C81,INPUT_DATA!$C:$C,"D"))</f>
        <v/>
      </c>
      <c r="AN81" s="767" t="str">
        <f t="shared" si="17"/>
        <v/>
      </c>
      <c r="AO81" s="772" t="str">
        <f>IF($C81=0,"",SUMIFS(INPUT_DATA!BK:BK,INPUT_DATA!$A:$A,$C81,INPUT_DATA!$C:$C,"D"))</f>
        <v/>
      </c>
      <c r="AP81" s="354" t="str">
        <f t="shared" si="18"/>
        <v/>
      </c>
      <c r="AQ81" s="149"/>
      <c r="AS81" s="354" t="str">
        <f t="shared" si="19"/>
        <v/>
      </c>
      <c r="AU81" s="378" t="str">
        <f>IF($C81=0,"",'03 - Monthly Asset Follow up'!E85+'03 - Monthly Asset Follow up'!F85-'03 - Monthly Asset Follow up'!U85+'03 - Monthly Asset Follow up'!X85-H81)</f>
        <v/>
      </c>
      <c r="AV81" s="378" t="str">
        <f>IF($C81=0,"",'03 - Monthly Asset Follow up'!BD85+'03 - Monthly Asset Follow up'!BE85-'03 - Monthly Asset Follow up'!BT85+'03 - Monthly Asset Follow up'!BW85-AA81)</f>
        <v/>
      </c>
      <c r="AX81" s="154"/>
    </row>
    <row r="82" spans="2:50" x14ac:dyDescent="0.2">
      <c r="B82" s="753" t="str">
        <f t="shared" si="14"/>
        <v/>
      </c>
      <c r="C82" s="756">
        <f>'03 - Monthly Asset Follow up'!B86</f>
        <v>0</v>
      </c>
      <c r="D82" s="149"/>
      <c r="E82" s="749" t="str">
        <f>IF($C82=0,"",SUMIFS(INPUT_DATA!AU:AU,INPUT_DATA!$A:$A,$C82,INPUT_DATA!$C:$C,"S"))</f>
        <v/>
      </c>
      <c r="F82" s="761" t="str">
        <f>IF($C82=0,"",SUMIFS(INPUT_DATA!AV:AV,INPUT_DATA!$A:$A,$C82,INPUT_DATA!$C:$C,"S"))</f>
        <v/>
      </c>
      <c r="G82" s="761" t="str">
        <f>IF($C82=0,"",SUMIFS(INPUT_DATA!AW:AW,INPUT_DATA!$A:$A,$C82,INPUT_DATA!$C:$C,"S"))</f>
        <v/>
      </c>
      <c r="H82" s="763" t="str">
        <f t="shared" si="10"/>
        <v/>
      </c>
      <c r="I82" s="761" t="str">
        <f>IF($C82=0,"",SUMIFS(INPUT_DATA!AY:AY,INPUT_DATA!$A:$A,$C82,INPUT_DATA!$C:$C,"S"))</f>
        <v/>
      </c>
      <c r="J82" s="761" t="str">
        <f>IF($C82=0,"",SUMIFS(INPUT_DATA!AZ:AZ,INPUT_DATA!$A:$A,$C82,INPUT_DATA!$C:$C,"S"))</f>
        <v/>
      </c>
      <c r="K82" s="761" t="str">
        <f>IF($C82=0,"",SUMIFS(INPUT_DATA!BA:BA,INPUT_DATA!$A:$A,$C82,INPUT_DATA!$C:$C,"S"))</f>
        <v/>
      </c>
      <c r="L82" s="761" t="str">
        <f>IF($C82=0,"",SUMIFS(INPUT_DATA!BB:BB,INPUT_DATA!$A:$A,$C82,INPUT_DATA!$C:$C,"S"))</f>
        <v/>
      </c>
      <c r="M82" s="761" t="str">
        <f>IF($C82=0,"",SUMIFS(INPUT_DATA!BC:BC,INPUT_DATA!$A:$A,$C82,INPUT_DATA!$C:$C,"S"))</f>
        <v/>
      </c>
      <c r="N82" s="761" t="str">
        <f>IF($C82=0,"",SUMIFS(INPUT_DATA!BD:BD,INPUT_DATA!$A:$A,$C82,INPUT_DATA!$C:$C,"S"))</f>
        <v/>
      </c>
      <c r="O82" s="761" t="str">
        <f>IF($C82=0,"",SUMIFS(INPUT_DATA!BE:BE,INPUT_DATA!$A:$A,$C82,INPUT_DATA!$C:$C,"S"))</f>
        <v/>
      </c>
      <c r="P82" s="761" t="str">
        <f>IF($C82=0,"",SUMIFS(INPUT_DATA!BF:BF,INPUT_DATA!$A:$A,$C82,INPUT_DATA!$C:$C,"S"))</f>
        <v/>
      </c>
      <c r="Q82" s="767" t="str">
        <f t="shared" si="15"/>
        <v/>
      </c>
      <c r="R82" s="769" t="str">
        <f>IF($C82=0,"",SUMIFS(INPUT_DATA!BH:BH,INPUT_DATA!$A:$A,$C82,INPUT_DATA!$C:$C,"S"))</f>
        <v/>
      </c>
      <c r="S82" s="769" t="str">
        <f>IF($C82=0,"",SUMIFS(INPUT_DATA!BI:BI,INPUT_DATA!$A:$A,$C82,INPUT_DATA!$C:$C,"S"))</f>
        <v/>
      </c>
      <c r="T82" s="767" t="str">
        <f t="shared" si="16"/>
        <v/>
      </c>
      <c r="U82" s="772" t="str">
        <f>IF($C82=0,"",SUMIFS(INPUT_DATA!BL:BL,INPUT_DATA!$A:$A,$C82,INPUT_DATA!$C:$C,"S"))</f>
        <v/>
      </c>
      <c r="V82" s="155" t="str">
        <f t="shared" si="11"/>
        <v/>
      </c>
      <c r="W82" s="149"/>
      <c r="X82" s="749" t="str">
        <f>IF($C82=0,"",SUMIFS(INPUT_DATA!AU:AU,INPUT_DATA!$A:$A,$C82,INPUT_DATA!$C:$C,"D"))</f>
        <v/>
      </c>
      <c r="Y82" s="761" t="str">
        <f>IF($C82=0,"",SUMIFS(INPUT_DATA!AV:AV,INPUT_DATA!$A:$A,$C82,INPUT_DATA!$C:$C,"D"))</f>
        <v/>
      </c>
      <c r="Z82" s="761" t="str">
        <f>IF($C82=0,"",SUMIFS(INPUT_DATA!AW:AW,INPUT_DATA!$A:$A,$C82,INPUT_DATA!$C:$C,"D"))</f>
        <v/>
      </c>
      <c r="AA82" s="762" t="str">
        <f t="shared" si="12"/>
        <v/>
      </c>
      <c r="AB82" s="761" t="str">
        <f>IF($C82=0,"",SUMIFS(INPUT_DATA!AX:AX,INPUT_DATA!$A:$A,$C82,INPUT_DATA!$C:$C,"D"))</f>
        <v/>
      </c>
      <c r="AC82" s="761" t="str">
        <f>IF($C82=0,"",SUMIFS(INPUT_DATA!AY:AY,INPUT_DATA!$A:$A,$C82,INPUT_DATA!$C:$C,"D"))</f>
        <v/>
      </c>
      <c r="AD82" s="761" t="str">
        <f>IF($C82=0,"",SUMIFS(INPUT_DATA!AZ:AZ,INPUT_DATA!$A:$A,$C82,INPUT_DATA!$C:$C,"D"))</f>
        <v/>
      </c>
      <c r="AE82" s="761" t="str">
        <f>IF($C82=0,"",SUMIFS(INPUT_DATA!BA:BA,INPUT_DATA!$A:$A,$C82,INPUT_DATA!$C:$C,"D"))</f>
        <v/>
      </c>
      <c r="AF82" s="761" t="str">
        <f>IF($C82=0,"",SUMIFS(INPUT_DATA!BB:BB,INPUT_DATA!$A:$A,$C82,INPUT_DATA!$C:$C,"D"))</f>
        <v/>
      </c>
      <c r="AG82" s="761" t="str">
        <f>IF($C82=0,"",SUMIFS(INPUT_DATA!BC:BC,INPUT_DATA!$A:$A,$C82,INPUT_DATA!$C:$C,"D"))</f>
        <v/>
      </c>
      <c r="AH82" s="761" t="str">
        <f>IF($C82=0,"",SUMIFS(INPUT_DATA!BD:BD,INPUT_DATA!$A:$A,$C82,INPUT_DATA!$C:$C,"D"))</f>
        <v/>
      </c>
      <c r="AI82" s="761" t="str">
        <f>IF($C82=0,"",SUMIFS(INPUT_DATA!BE:BE,INPUT_DATA!$A:$A,$C82,INPUT_DATA!$C:$C,"D"))</f>
        <v/>
      </c>
      <c r="AJ82" s="314" t="str">
        <f t="shared" si="13"/>
        <v/>
      </c>
      <c r="AK82" s="769" t="str">
        <f>IF($C82=0,"",SUMIFS(INPUT_DATA!BG:BG,INPUT_DATA!$A:$A,$C82,INPUT_DATA!$C:$C,"D"))</f>
        <v/>
      </c>
      <c r="AL82" s="769" t="str">
        <f>IF($C82=0,"",SUMIFS(INPUT_DATA!BH:BH,INPUT_DATA!$A:$A,$C82,INPUT_DATA!$C:$C,"D"))</f>
        <v/>
      </c>
      <c r="AM82" s="769" t="str">
        <f>IF($C82=0,"",SUMIFS(INPUT_DATA!BI:BI,INPUT_DATA!$A:$A,$C82,INPUT_DATA!$C:$C,"D"))</f>
        <v/>
      </c>
      <c r="AN82" s="767" t="str">
        <f t="shared" si="17"/>
        <v/>
      </c>
      <c r="AO82" s="772" t="str">
        <f>IF($C82=0,"",SUMIFS(INPUT_DATA!BK:BK,INPUT_DATA!$A:$A,$C82,INPUT_DATA!$C:$C,"D"))</f>
        <v/>
      </c>
      <c r="AP82" s="354" t="str">
        <f t="shared" si="18"/>
        <v/>
      </c>
      <c r="AQ82" s="149"/>
      <c r="AS82" s="354" t="str">
        <f t="shared" si="19"/>
        <v/>
      </c>
      <c r="AU82" s="378" t="str">
        <f>IF($C82=0,"",'03 - Monthly Asset Follow up'!E86+'03 - Monthly Asset Follow up'!F86-'03 - Monthly Asset Follow up'!U86+'03 - Monthly Asset Follow up'!X86-H82)</f>
        <v/>
      </c>
      <c r="AV82" s="378" t="str">
        <f>IF($C82=0,"",'03 - Monthly Asset Follow up'!BD86+'03 - Monthly Asset Follow up'!BE86-'03 - Monthly Asset Follow up'!BT86+'03 - Monthly Asset Follow up'!BW86-AA82)</f>
        <v/>
      </c>
      <c r="AX82" s="154"/>
    </row>
    <row r="83" spans="2:50" x14ac:dyDescent="0.2">
      <c r="B83" s="753" t="str">
        <f t="shared" si="14"/>
        <v/>
      </c>
      <c r="C83" s="756">
        <f>'03 - Monthly Asset Follow up'!B87</f>
        <v>0</v>
      </c>
      <c r="D83" s="149"/>
      <c r="E83" s="749" t="str">
        <f>IF($C83=0,"",SUMIFS(INPUT_DATA!AU:AU,INPUT_DATA!$A:$A,$C83,INPUT_DATA!$C:$C,"S"))</f>
        <v/>
      </c>
      <c r="F83" s="761" t="str">
        <f>IF($C83=0,"",SUMIFS(INPUT_DATA!AV:AV,INPUT_DATA!$A:$A,$C83,INPUT_DATA!$C:$C,"S"))</f>
        <v/>
      </c>
      <c r="G83" s="761" t="str">
        <f>IF($C83=0,"",SUMIFS(INPUT_DATA!AW:AW,INPUT_DATA!$A:$A,$C83,INPUT_DATA!$C:$C,"S"))</f>
        <v/>
      </c>
      <c r="H83" s="763" t="str">
        <f t="shared" si="10"/>
        <v/>
      </c>
      <c r="I83" s="761" t="str">
        <f>IF($C83=0,"",SUMIFS(INPUT_DATA!AY:AY,INPUT_DATA!$A:$A,$C83,INPUT_DATA!$C:$C,"S"))</f>
        <v/>
      </c>
      <c r="J83" s="761" t="str">
        <f>IF($C83=0,"",SUMIFS(INPUT_DATA!AZ:AZ,INPUT_DATA!$A:$A,$C83,INPUT_DATA!$C:$C,"S"))</f>
        <v/>
      </c>
      <c r="K83" s="761" t="str">
        <f>IF($C83=0,"",SUMIFS(INPUT_DATA!BA:BA,INPUT_DATA!$A:$A,$C83,INPUT_DATA!$C:$C,"S"))</f>
        <v/>
      </c>
      <c r="L83" s="761" t="str">
        <f>IF($C83=0,"",SUMIFS(INPUT_DATA!BB:BB,INPUT_DATA!$A:$A,$C83,INPUT_DATA!$C:$C,"S"))</f>
        <v/>
      </c>
      <c r="M83" s="761" t="str">
        <f>IF($C83=0,"",SUMIFS(INPUT_DATA!BC:BC,INPUT_DATA!$A:$A,$C83,INPUT_DATA!$C:$C,"S"))</f>
        <v/>
      </c>
      <c r="N83" s="761" t="str">
        <f>IF($C83=0,"",SUMIFS(INPUT_DATA!BD:BD,INPUT_DATA!$A:$A,$C83,INPUT_DATA!$C:$C,"S"))</f>
        <v/>
      </c>
      <c r="O83" s="761" t="str">
        <f>IF($C83=0,"",SUMIFS(INPUT_DATA!BE:BE,INPUT_DATA!$A:$A,$C83,INPUT_DATA!$C:$C,"S"))</f>
        <v/>
      </c>
      <c r="P83" s="761" t="str">
        <f>IF($C83=0,"",SUMIFS(INPUT_DATA!BF:BF,INPUT_DATA!$A:$A,$C83,INPUT_DATA!$C:$C,"S"))</f>
        <v/>
      </c>
      <c r="Q83" s="767" t="str">
        <f t="shared" si="15"/>
        <v/>
      </c>
      <c r="R83" s="769" t="str">
        <f>IF($C83=0,"",SUMIFS(INPUT_DATA!BH:BH,INPUT_DATA!$A:$A,$C83,INPUT_DATA!$C:$C,"S"))</f>
        <v/>
      </c>
      <c r="S83" s="769" t="str">
        <f>IF($C83=0,"",SUMIFS(INPUT_DATA!BI:BI,INPUT_DATA!$A:$A,$C83,INPUT_DATA!$C:$C,"S"))</f>
        <v/>
      </c>
      <c r="T83" s="767" t="str">
        <f t="shared" si="16"/>
        <v/>
      </c>
      <c r="U83" s="772" t="str">
        <f>IF($C83=0,"",SUMIFS(INPUT_DATA!BL:BL,INPUT_DATA!$A:$A,$C83,INPUT_DATA!$C:$C,"S"))</f>
        <v/>
      </c>
      <c r="V83" s="155" t="str">
        <f t="shared" si="11"/>
        <v/>
      </c>
      <c r="W83" s="149"/>
      <c r="X83" s="749" t="str">
        <f>IF($C83=0,"",SUMIFS(INPUT_DATA!AU:AU,INPUT_DATA!$A:$A,$C83,INPUT_DATA!$C:$C,"D"))</f>
        <v/>
      </c>
      <c r="Y83" s="761" t="str">
        <f>IF($C83=0,"",SUMIFS(INPUT_DATA!AV:AV,INPUT_DATA!$A:$A,$C83,INPUT_DATA!$C:$C,"D"))</f>
        <v/>
      </c>
      <c r="Z83" s="761" t="str">
        <f>IF($C83=0,"",SUMIFS(INPUT_DATA!AW:AW,INPUT_DATA!$A:$A,$C83,INPUT_DATA!$C:$C,"D"))</f>
        <v/>
      </c>
      <c r="AA83" s="762" t="str">
        <f t="shared" si="12"/>
        <v/>
      </c>
      <c r="AB83" s="761" t="str">
        <f>IF($C83=0,"",SUMIFS(INPUT_DATA!AX:AX,INPUT_DATA!$A:$A,$C83,INPUT_DATA!$C:$C,"D"))</f>
        <v/>
      </c>
      <c r="AC83" s="761" t="str">
        <f>IF($C83=0,"",SUMIFS(INPUT_DATA!AY:AY,INPUT_DATA!$A:$A,$C83,INPUT_DATA!$C:$C,"D"))</f>
        <v/>
      </c>
      <c r="AD83" s="761" t="str">
        <f>IF($C83=0,"",SUMIFS(INPUT_DATA!AZ:AZ,INPUT_DATA!$A:$A,$C83,INPUT_DATA!$C:$C,"D"))</f>
        <v/>
      </c>
      <c r="AE83" s="761" t="str">
        <f>IF($C83=0,"",SUMIFS(INPUT_DATA!BA:BA,INPUT_DATA!$A:$A,$C83,INPUT_DATA!$C:$C,"D"))</f>
        <v/>
      </c>
      <c r="AF83" s="761" t="str">
        <f>IF($C83=0,"",SUMIFS(INPUT_DATA!BB:BB,INPUT_DATA!$A:$A,$C83,INPUT_DATA!$C:$C,"D"))</f>
        <v/>
      </c>
      <c r="AG83" s="761" t="str">
        <f>IF($C83=0,"",SUMIFS(INPUT_DATA!BC:BC,INPUT_DATA!$A:$A,$C83,INPUT_DATA!$C:$C,"D"))</f>
        <v/>
      </c>
      <c r="AH83" s="761" t="str">
        <f>IF($C83=0,"",SUMIFS(INPUT_DATA!BD:BD,INPUT_DATA!$A:$A,$C83,INPUT_DATA!$C:$C,"D"))</f>
        <v/>
      </c>
      <c r="AI83" s="761" t="str">
        <f>IF($C83=0,"",SUMIFS(INPUT_DATA!BE:BE,INPUT_DATA!$A:$A,$C83,INPUT_DATA!$C:$C,"D"))</f>
        <v/>
      </c>
      <c r="AJ83" s="314" t="str">
        <f t="shared" si="13"/>
        <v/>
      </c>
      <c r="AK83" s="769" t="str">
        <f>IF($C83=0,"",SUMIFS(INPUT_DATA!BG:BG,INPUT_DATA!$A:$A,$C83,INPUT_DATA!$C:$C,"D"))</f>
        <v/>
      </c>
      <c r="AL83" s="769" t="str">
        <f>IF($C83=0,"",SUMIFS(INPUT_DATA!BH:BH,INPUT_DATA!$A:$A,$C83,INPUT_DATA!$C:$C,"D"))</f>
        <v/>
      </c>
      <c r="AM83" s="769" t="str">
        <f>IF($C83=0,"",SUMIFS(INPUT_DATA!BI:BI,INPUT_DATA!$A:$A,$C83,INPUT_DATA!$C:$C,"D"))</f>
        <v/>
      </c>
      <c r="AN83" s="767" t="str">
        <f t="shared" si="17"/>
        <v/>
      </c>
      <c r="AO83" s="772" t="str">
        <f>IF($C83=0,"",SUMIFS(INPUT_DATA!BK:BK,INPUT_DATA!$A:$A,$C83,INPUT_DATA!$C:$C,"D"))</f>
        <v/>
      </c>
      <c r="AP83" s="354" t="str">
        <f t="shared" si="18"/>
        <v/>
      </c>
      <c r="AQ83" s="149"/>
      <c r="AS83" s="354" t="str">
        <f t="shared" si="19"/>
        <v/>
      </c>
      <c r="AU83" s="378" t="str">
        <f>IF($C83=0,"",'03 - Monthly Asset Follow up'!E87+'03 - Monthly Asset Follow up'!F87-'03 - Monthly Asset Follow up'!U87+'03 - Monthly Asset Follow up'!X87-H83)</f>
        <v/>
      </c>
      <c r="AV83" s="378" t="str">
        <f>IF($C83=0,"",'03 - Monthly Asset Follow up'!BD87+'03 - Monthly Asset Follow up'!BE87-'03 - Monthly Asset Follow up'!BT87+'03 - Monthly Asset Follow up'!BW87-AA83)</f>
        <v/>
      </c>
      <c r="AX83" s="154"/>
    </row>
    <row r="84" spans="2:50" x14ac:dyDescent="0.2">
      <c r="B84" s="753" t="str">
        <f t="shared" si="14"/>
        <v/>
      </c>
      <c r="C84" s="756">
        <f>'03 - Monthly Asset Follow up'!B88</f>
        <v>0</v>
      </c>
      <c r="D84" s="149"/>
      <c r="E84" s="749" t="str">
        <f>IF($C84=0,"",SUMIFS(INPUT_DATA!AU:AU,INPUT_DATA!$A:$A,$C84,INPUT_DATA!$C:$C,"S"))</f>
        <v/>
      </c>
      <c r="F84" s="761" t="str">
        <f>IF($C84=0,"",SUMIFS(INPUT_DATA!AV:AV,INPUT_DATA!$A:$A,$C84,INPUT_DATA!$C:$C,"S"))</f>
        <v/>
      </c>
      <c r="G84" s="761" t="str">
        <f>IF($C84=0,"",SUMIFS(INPUT_DATA!AW:AW,INPUT_DATA!$A:$A,$C84,INPUT_DATA!$C:$C,"S"))</f>
        <v/>
      </c>
      <c r="H84" s="763" t="str">
        <f t="shared" si="10"/>
        <v/>
      </c>
      <c r="I84" s="761" t="str">
        <f>IF($C84=0,"",SUMIFS(INPUT_DATA!AY:AY,INPUT_DATA!$A:$A,$C84,INPUT_DATA!$C:$C,"S"))</f>
        <v/>
      </c>
      <c r="J84" s="761" t="str">
        <f>IF($C84=0,"",SUMIFS(INPUT_DATA!AZ:AZ,INPUT_DATA!$A:$A,$C84,INPUT_DATA!$C:$C,"S"))</f>
        <v/>
      </c>
      <c r="K84" s="761" t="str">
        <f>IF($C84=0,"",SUMIFS(INPUT_DATA!BA:BA,INPUT_DATA!$A:$A,$C84,INPUT_DATA!$C:$C,"S"))</f>
        <v/>
      </c>
      <c r="L84" s="761" t="str">
        <f>IF($C84=0,"",SUMIFS(INPUT_DATA!BB:BB,INPUT_DATA!$A:$A,$C84,INPUT_DATA!$C:$C,"S"))</f>
        <v/>
      </c>
      <c r="M84" s="761" t="str">
        <f>IF($C84=0,"",SUMIFS(INPUT_DATA!BC:BC,INPUT_DATA!$A:$A,$C84,INPUT_DATA!$C:$C,"S"))</f>
        <v/>
      </c>
      <c r="N84" s="761" t="str">
        <f>IF($C84=0,"",SUMIFS(INPUT_DATA!BD:BD,INPUT_DATA!$A:$A,$C84,INPUT_DATA!$C:$C,"S"))</f>
        <v/>
      </c>
      <c r="O84" s="761" t="str">
        <f>IF($C84=0,"",SUMIFS(INPUT_DATA!BE:BE,INPUT_DATA!$A:$A,$C84,INPUT_DATA!$C:$C,"S"))</f>
        <v/>
      </c>
      <c r="P84" s="761" t="str">
        <f>IF($C84=0,"",SUMIFS(INPUT_DATA!BF:BF,INPUT_DATA!$A:$A,$C84,INPUT_DATA!$C:$C,"S"))</f>
        <v/>
      </c>
      <c r="Q84" s="767" t="str">
        <f t="shared" si="15"/>
        <v/>
      </c>
      <c r="R84" s="769" t="str">
        <f>IF($C84=0,"",SUMIFS(INPUT_DATA!BH:BH,INPUT_DATA!$A:$A,$C84,INPUT_DATA!$C:$C,"S"))</f>
        <v/>
      </c>
      <c r="S84" s="769" t="str">
        <f>IF($C84=0,"",SUMIFS(INPUT_DATA!BI:BI,INPUT_DATA!$A:$A,$C84,INPUT_DATA!$C:$C,"S"))</f>
        <v/>
      </c>
      <c r="T84" s="767" t="str">
        <f t="shared" si="16"/>
        <v/>
      </c>
      <c r="U84" s="772" t="str">
        <f>IF($C84=0,"",SUMIFS(INPUT_DATA!BL:BL,INPUT_DATA!$A:$A,$C84,INPUT_DATA!$C:$C,"S"))</f>
        <v/>
      </c>
      <c r="V84" s="155" t="str">
        <f t="shared" si="11"/>
        <v/>
      </c>
      <c r="W84" s="149"/>
      <c r="X84" s="749" t="str">
        <f>IF($C84=0,"",SUMIFS(INPUT_DATA!AU:AU,INPUT_DATA!$A:$A,$C84,INPUT_DATA!$C:$C,"D"))</f>
        <v/>
      </c>
      <c r="Y84" s="761" t="str">
        <f>IF($C84=0,"",SUMIFS(INPUT_DATA!AV:AV,INPUT_DATA!$A:$A,$C84,INPUT_DATA!$C:$C,"D"))</f>
        <v/>
      </c>
      <c r="Z84" s="761" t="str">
        <f>IF($C84=0,"",SUMIFS(INPUT_DATA!AW:AW,INPUT_DATA!$A:$A,$C84,INPUT_DATA!$C:$C,"D"))</f>
        <v/>
      </c>
      <c r="AA84" s="762" t="str">
        <f t="shared" si="12"/>
        <v/>
      </c>
      <c r="AB84" s="761" t="str">
        <f>IF($C84=0,"",SUMIFS(INPUT_DATA!AX:AX,INPUT_DATA!$A:$A,$C84,INPUT_DATA!$C:$C,"D"))</f>
        <v/>
      </c>
      <c r="AC84" s="761" t="str">
        <f>IF($C84=0,"",SUMIFS(INPUT_DATA!AY:AY,INPUT_DATA!$A:$A,$C84,INPUT_DATA!$C:$C,"D"))</f>
        <v/>
      </c>
      <c r="AD84" s="761" t="str">
        <f>IF($C84=0,"",SUMIFS(INPUT_DATA!AZ:AZ,INPUT_DATA!$A:$A,$C84,INPUT_DATA!$C:$C,"D"))</f>
        <v/>
      </c>
      <c r="AE84" s="761" t="str">
        <f>IF($C84=0,"",SUMIFS(INPUT_DATA!BA:BA,INPUT_DATA!$A:$A,$C84,INPUT_DATA!$C:$C,"D"))</f>
        <v/>
      </c>
      <c r="AF84" s="761" t="str">
        <f>IF($C84=0,"",SUMIFS(INPUT_DATA!BB:BB,INPUT_DATA!$A:$A,$C84,INPUT_DATA!$C:$C,"D"))</f>
        <v/>
      </c>
      <c r="AG84" s="761" t="str">
        <f>IF($C84=0,"",SUMIFS(INPUT_DATA!BC:BC,INPUT_DATA!$A:$A,$C84,INPUT_DATA!$C:$C,"D"))</f>
        <v/>
      </c>
      <c r="AH84" s="761" t="str">
        <f>IF($C84=0,"",SUMIFS(INPUT_DATA!BD:BD,INPUT_DATA!$A:$A,$C84,INPUT_DATA!$C:$C,"D"))</f>
        <v/>
      </c>
      <c r="AI84" s="761" t="str">
        <f>IF($C84=0,"",SUMIFS(INPUT_DATA!BE:BE,INPUT_DATA!$A:$A,$C84,INPUT_DATA!$C:$C,"D"))</f>
        <v/>
      </c>
      <c r="AJ84" s="314" t="str">
        <f t="shared" si="13"/>
        <v/>
      </c>
      <c r="AK84" s="769" t="str">
        <f>IF($C84=0,"",SUMIFS(INPUT_DATA!BG:BG,INPUT_DATA!$A:$A,$C84,INPUT_DATA!$C:$C,"D"))</f>
        <v/>
      </c>
      <c r="AL84" s="769" t="str">
        <f>IF($C84=0,"",SUMIFS(INPUT_DATA!BH:BH,INPUT_DATA!$A:$A,$C84,INPUT_DATA!$C:$C,"D"))</f>
        <v/>
      </c>
      <c r="AM84" s="769" t="str">
        <f>IF($C84=0,"",SUMIFS(INPUT_DATA!BI:BI,INPUT_DATA!$A:$A,$C84,INPUT_DATA!$C:$C,"D"))</f>
        <v/>
      </c>
      <c r="AN84" s="767" t="str">
        <f t="shared" si="17"/>
        <v/>
      </c>
      <c r="AO84" s="772" t="str">
        <f>IF($C84=0,"",SUMIFS(INPUT_DATA!BK:BK,INPUT_DATA!$A:$A,$C84,INPUT_DATA!$C:$C,"D"))</f>
        <v/>
      </c>
      <c r="AP84" s="354" t="str">
        <f t="shared" si="18"/>
        <v/>
      </c>
      <c r="AQ84" s="149"/>
      <c r="AS84" s="354" t="str">
        <f t="shared" si="19"/>
        <v/>
      </c>
      <c r="AU84" s="378" t="str">
        <f>IF($C84=0,"",'03 - Monthly Asset Follow up'!E88+'03 - Monthly Asset Follow up'!F88-'03 - Monthly Asset Follow up'!U88+'03 - Monthly Asset Follow up'!X88-H84)</f>
        <v/>
      </c>
      <c r="AV84" s="378" t="str">
        <f>IF($C84=0,"",'03 - Monthly Asset Follow up'!BD88+'03 - Monthly Asset Follow up'!BE88-'03 - Monthly Asset Follow up'!BT88+'03 - Monthly Asset Follow up'!BW88-AA84)</f>
        <v/>
      </c>
      <c r="AX84" s="154"/>
    </row>
    <row r="85" spans="2:50" x14ac:dyDescent="0.2">
      <c r="B85" s="753" t="str">
        <f t="shared" si="14"/>
        <v/>
      </c>
      <c r="C85" s="756">
        <f>'03 - Monthly Asset Follow up'!B89</f>
        <v>0</v>
      </c>
      <c r="D85" s="149"/>
      <c r="E85" s="749" t="str">
        <f>IF($C85=0,"",SUMIFS(INPUT_DATA!AU:AU,INPUT_DATA!$A:$A,$C85,INPUT_DATA!$C:$C,"S"))</f>
        <v/>
      </c>
      <c r="F85" s="761" t="str">
        <f>IF($C85=0,"",SUMIFS(INPUT_DATA!AV:AV,INPUT_DATA!$A:$A,$C85,INPUT_DATA!$C:$C,"S"))</f>
        <v/>
      </c>
      <c r="G85" s="761" t="str">
        <f>IF($C85=0,"",SUMIFS(INPUT_DATA!AW:AW,INPUT_DATA!$A:$A,$C85,INPUT_DATA!$C:$C,"S"))</f>
        <v/>
      </c>
      <c r="H85" s="763" t="str">
        <f t="shared" si="10"/>
        <v/>
      </c>
      <c r="I85" s="761" t="str">
        <f>IF($C85=0,"",SUMIFS(INPUT_DATA!AY:AY,INPUT_DATA!$A:$A,$C85,INPUT_DATA!$C:$C,"S"))</f>
        <v/>
      </c>
      <c r="J85" s="761" t="str">
        <f>IF($C85=0,"",SUMIFS(INPUT_DATA!AZ:AZ,INPUT_DATA!$A:$A,$C85,INPUT_DATA!$C:$C,"S"))</f>
        <v/>
      </c>
      <c r="K85" s="761" t="str">
        <f>IF($C85=0,"",SUMIFS(INPUT_DATA!BA:BA,INPUT_DATA!$A:$A,$C85,INPUT_DATA!$C:$C,"S"))</f>
        <v/>
      </c>
      <c r="L85" s="761" t="str">
        <f>IF($C85=0,"",SUMIFS(INPUT_DATA!BB:BB,INPUT_DATA!$A:$A,$C85,INPUT_DATA!$C:$C,"S"))</f>
        <v/>
      </c>
      <c r="M85" s="761" t="str">
        <f>IF($C85=0,"",SUMIFS(INPUT_DATA!BC:BC,INPUT_DATA!$A:$A,$C85,INPUT_DATA!$C:$C,"S"))</f>
        <v/>
      </c>
      <c r="N85" s="761" t="str">
        <f>IF($C85=0,"",SUMIFS(INPUT_DATA!BD:BD,INPUT_DATA!$A:$A,$C85,INPUT_DATA!$C:$C,"S"))</f>
        <v/>
      </c>
      <c r="O85" s="761" t="str">
        <f>IF($C85=0,"",SUMIFS(INPUT_DATA!BE:BE,INPUT_DATA!$A:$A,$C85,INPUT_DATA!$C:$C,"S"))</f>
        <v/>
      </c>
      <c r="P85" s="761" t="str">
        <f>IF($C85=0,"",SUMIFS(INPUT_DATA!BF:BF,INPUT_DATA!$A:$A,$C85,INPUT_DATA!$C:$C,"S"))</f>
        <v/>
      </c>
      <c r="Q85" s="767" t="str">
        <f t="shared" si="15"/>
        <v/>
      </c>
      <c r="R85" s="769" t="str">
        <f>IF($C85=0,"",SUMIFS(INPUT_DATA!BH:BH,INPUT_DATA!$A:$A,$C85,INPUT_DATA!$C:$C,"S"))</f>
        <v/>
      </c>
      <c r="S85" s="769" t="str">
        <f>IF($C85=0,"",SUMIFS(INPUT_DATA!BI:BI,INPUT_DATA!$A:$A,$C85,INPUT_DATA!$C:$C,"S"))</f>
        <v/>
      </c>
      <c r="T85" s="767" t="str">
        <f t="shared" si="16"/>
        <v/>
      </c>
      <c r="U85" s="772" t="str">
        <f>IF($C85=0,"",SUMIFS(INPUT_DATA!BL:BL,INPUT_DATA!$A:$A,$C85,INPUT_DATA!$C:$C,"S"))</f>
        <v/>
      </c>
      <c r="V85" s="155" t="str">
        <f t="shared" si="11"/>
        <v/>
      </c>
      <c r="W85" s="149"/>
      <c r="X85" s="749" t="str">
        <f>IF($C85=0,"",SUMIFS(INPUT_DATA!AU:AU,INPUT_DATA!$A:$A,$C85,INPUT_DATA!$C:$C,"D"))</f>
        <v/>
      </c>
      <c r="Y85" s="761" t="str">
        <f>IF($C85=0,"",SUMIFS(INPUT_DATA!AV:AV,INPUT_DATA!$A:$A,$C85,INPUT_DATA!$C:$C,"D"))</f>
        <v/>
      </c>
      <c r="Z85" s="761" t="str">
        <f>IF($C85=0,"",SUMIFS(INPUT_DATA!AW:AW,INPUT_DATA!$A:$A,$C85,INPUT_DATA!$C:$C,"D"))</f>
        <v/>
      </c>
      <c r="AA85" s="762" t="str">
        <f t="shared" si="12"/>
        <v/>
      </c>
      <c r="AB85" s="761" t="str">
        <f>IF($C85=0,"",SUMIFS(INPUT_DATA!AX:AX,INPUT_DATA!$A:$A,$C85,INPUT_DATA!$C:$C,"D"))</f>
        <v/>
      </c>
      <c r="AC85" s="761" t="str">
        <f>IF($C85=0,"",SUMIFS(INPUT_DATA!AY:AY,INPUT_DATA!$A:$A,$C85,INPUT_DATA!$C:$C,"D"))</f>
        <v/>
      </c>
      <c r="AD85" s="761" t="str">
        <f>IF($C85=0,"",SUMIFS(INPUT_DATA!AZ:AZ,INPUT_DATA!$A:$A,$C85,INPUT_DATA!$C:$C,"D"))</f>
        <v/>
      </c>
      <c r="AE85" s="761" t="str">
        <f>IF($C85=0,"",SUMIFS(INPUT_DATA!BA:BA,INPUT_DATA!$A:$A,$C85,INPUT_DATA!$C:$C,"D"))</f>
        <v/>
      </c>
      <c r="AF85" s="761" t="str">
        <f>IF($C85=0,"",SUMIFS(INPUT_DATA!BB:BB,INPUT_DATA!$A:$A,$C85,INPUT_DATA!$C:$C,"D"))</f>
        <v/>
      </c>
      <c r="AG85" s="761" t="str">
        <f>IF($C85=0,"",SUMIFS(INPUT_DATA!BC:BC,INPUT_DATA!$A:$A,$C85,INPUT_DATA!$C:$C,"D"))</f>
        <v/>
      </c>
      <c r="AH85" s="761" t="str">
        <f>IF($C85=0,"",SUMIFS(INPUT_DATA!BD:BD,INPUT_DATA!$A:$A,$C85,INPUT_DATA!$C:$C,"D"))</f>
        <v/>
      </c>
      <c r="AI85" s="761" t="str">
        <f>IF($C85=0,"",SUMIFS(INPUT_DATA!BE:BE,INPUT_DATA!$A:$A,$C85,INPUT_DATA!$C:$C,"D"))</f>
        <v/>
      </c>
      <c r="AJ85" s="314" t="str">
        <f t="shared" si="13"/>
        <v/>
      </c>
      <c r="AK85" s="769" t="str">
        <f>IF($C85=0,"",SUMIFS(INPUT_DATA!BG:BG,INPUT_DATA!$A:$A,$C85,INPUT_DATA!$C:$C,"D"))</f>
        <v/>
      </c>
      <c r="AL85" s="769" t="str">
        <f>IF($C85=0,"",SUMIFS(INPUT_DATA!BH:BH,INPUT_DATA!$A:$A,$C85,INPUT_DATA!$C:$C,"D"))</f>
        <v/>
      </c>
      <c r="AM85" s="769" t="str">
        <f>IF($C85=0,"",SUMIFS(INPUT_DATA!BI:BI,INPUT_DATA!$A:$A,$C85,INPUT_DATA!$C:$C,"D"))</f>
        <v/>
      </c>
      <c r="AN85" s="767" t="str">
        <f t="shared" si="17"/>
        <v/>
      </c>
      <c r="AO85" s="772" t="str">
        <f>IF($C85=0,"",SUMIFS(INPUT_DATA!BK:BK,INPUT_DATA!$A:$A,$C85,INPUT_DATA!$C:$C,"D"))</f>
        <v/>
      </c>
      <c r="AP85" s="354" t="str">
        <f t="shared" si="18"/>
        <v/>
      </c>
      <c r="AQ85" s="149"/>
      <c r="AS85" s="354" t="str">
        <f t="shared" si="19"/>
        <v/>
      </c>
      <c r="AU85" s="378" t="str">
        <f>IF($C85=0,"",'03 - Monthly Asset Follow up'!E89+'03 - Monthly Asset Follow up'!F89-'03 - Monthly Asset Follow up'!U89+'03 - Monthly Asset Follow up'!X89-H85)</f>
        <v/>
      </c>
      <c r="AV85" s="378" t="str">
        <f>IF($C85=0,"",'03 - Monthly Asset Follow up'!BD89+'03 - Monthly Asset Follow up'!BE89-'03 - Monthly Asset Follow up'!BT89+'03 - Monthly Asset Follow up'!BW89-AA85)</f>
        <v/>
      </c>
      <c r="AX85" s="154"/>
    </row>
    <row r="86" spans="2:50" x14ac:dyDescent="0.2">
      <c r="B86" s="753" t="str">
        <f t="shared" si="14"/>
        <v/>
      </c>
      <c r="C86" s="756">
        <f>'03 - Monthly Asset Follow up'!B90</f>
        <v>0</v>
      </c>
      <c r="D86" s="149"/>
      <c r="E86" s="749" t="str">
        <f>IF($C86=0,"",SUMIFS(INPUT_DATA!AU:AU,INPUT_DATA!$A:$A,$C86,INPUT_DATA!$C:$C,"S"))</f>
        <v/>
      </c>
      <c r="F86" s="761" t="str">
        <f>IF($C86=0,"",SUMIFS(INPUT_DATA!AV:AV,INPUT_DATA!$A:$A,$C86,INPUT_DATA!$C:$C,"S"))</f>
        <v/>
      </c>
      <c r="G86" s="761" t="str">
        <f>IF($C86=0,"",SUMIFS(INPUT_DATA!AW:AW,INPUT_DATA!$A:$A,$C86,INPUT_DATA!$C:$C,"S"))</f>
        <v/>
      </c>
      <c r="H86" s="763" t="str">
        <f t="shared" si="10"/>
        <v/>
      </c>
      <c r="I86" s="761" t="str">
        <f>IF($C86=0,"",SUMIFS(INPUT_DATA!AY:AY,INPUT_DATA!$A:$A,$C86,INPUT_DATA!$C:$C,"S"))</f>
        <v/>
      </c>
      <c r="J86" s="761" t="str">
        <f>IF($C86=0,"",SUMIFS(INPUT_DATA!AZ:AZ,INPUT_DATA!$A:$A,$C86,INPUT_DATA!$C:$C,"S"))</f>
        <v/>
      </c>
      <c r="K86" s="761" t="str">
        <f>IF($C86=0,"",SUMIFS(INPUT_DATA!BA:BA,INPUT_DATA!$A:$A,$C86,INPUT_DATA!$C:$C,"S"))</f>
        <v/>
      </c>
      <c r="L86" s="761" t="str">
        <f>IF($C86=0,"",SUMIFS(INPUT_DATA!BB:BB,INPUT_DATA!$A:$A,$C86,INPUT_DATA!$C:$C,"S"))</f>
        <v/>
      </c>
      <c r="M86" s="761" t="str">
        <f>IF($C86=0,"",SUMIFS(INPUT_DATA!BC:BC,INPUT_DATA!$A:$A,$C86,INPUT_DATA!$C:$C,"S"))</f>
        <v/>
      </c>
      <c r="N86" s="761" t="str">
        <f>IF($C86=0,"",SUMIFS(INPUT_DATA!BD:BD,INPUT_DATA!$A:$A,$C86,INPUT_DATA!$C:$C,"S"))</f>
        <v/>
      </c>
      <c r="O86" s="761" t="str">
        <f>IF($C86=0,"",SUMIFS(INPUT_DATA!BE:BE,INPUT_DATA!$A:$A,$C86,INPUT_DATA!$C:$C,"S"))</f>
        <v/>
      </c>
      <c r="P86" s="761" t="str">
        <f>IF($C86=0,"",SUMIFS(INPUT_DATA!BF:BF,INPUT_DATA!$A:$A,$C86,INPUT_DATA!$C:$C,"S"))</f>
        <v/>
      </c>
      <c r="Q86" s="767" t="str">
        <f t="shared" si="15"/>
        <v/>
      </c>
      <c r="R86" s="769" t="str">
        <f>IF($C86=0,"",SUMIFS(INPUT_DATA!BH:BH,INPUT_DATA!$A:$A,$C86,INPUT_DATA!$C:$C,"S"))</f>
        <v/>
      </c>
      <c r="S86" s="769" t="str">
        <f>IF($C86=0,"",SUMIFS(INPUT_DATA!BI:BI,INPUT_DATA!$A:$A,$C86,INPUT_DATA!$C:$C,"S"))</f>
        <v/>
      </c>
      <c r="T86" s="767" t="str">
        <f t="shared" si="16"/>
        <v/>
      </c>
      <c r="U86" s="772" t="str">
        <f>IF($C86=0,"",SUMIFS(INPUT_DATA!BL:BL,INPUT_DATA!$A:$A,$C86,INPUT_DATA!$C:$C,"S"))</f>
        <v/>
      </c>
      <c r="V86" s="155" t="str">
        <f t="shared" si="11"/>
        <v/>
      </c>
      <c r="W86" s="149"/>
      <c r="X86" s="749" t="str">
        <f>IF($C86=0,"",SUMIFS(INPUT_DATA!AU:AU,INPUT_DATA!$A:$A,$C86,INPUT_DATA!$C:$C,"D"))</f>
        <v/>
      </c>
      <c r="Y86" s="761" t="str">
        <f>IF($C86=0,"",SUMIFS(INPUT_DATA!AV:AV,INPUT_DATA!$A:$A,$C86,INPUT_DATA!$C:$C,"D"))</f>
        <v/>
      </c>
      <c r="Z86" s="761" t="str">
        <f>IF($C86=0,"",SUMIFS(INPUT_DATA!AW:AW,INPUT_DATA!$A:$A,$C86,INPUT_DATA!$C:$C,"D"))</f>
        <v/>
      </c>
      <c r="AA86" s="762" t="str">
        <f t="shared" si="12"/>
        <v/>
      </c>
      <c r="AB86" s="761" t="str">
        <f>IF($C86=0,"",SUMIFS(INPUT_DATA!AX:AX,INPUT_DATA!$A:$A,$C86,INPUT_DATA!$C:$C,"D"))</f>
        <v/>
      </c>
      <c r="AC86" s="761" t="str">
        <f>IF($C86=0,"",SUMIFS(INPUT_DATA!AY:AY,INPUT_DATA!$A:$A,$C86,INPUT_DATA!$C:$C,"D"))</f>
        <v/>
      </c>
      <c r="AD86" s="761" t="str">
        <f>IF($C86=0,"",SUMIFS(INPUT_DATA!AZ:AZ,INPUT_DATA!$A:$A,$C86,INPUT_DATA!$C:$C,"D"))</f>
        <v/>
      </c>
      <c r="AE86" s="761" t="str">
        <f>IF($C86=0,"",SUMIFS(INPUT_DATA!BA:BA,INPUT_DATA!$A:$A,$C86,INPUT_DATA!$C:$C,"D"))</f>
        <v/>
      </c>
      <c r="AF86" s="761" t="str">
        <f>IF($C86=0,"",SUMIFS(INPUT_DATA!BB:BB,INPUT_DATA!$A:$A,$C86,INPUT_DATA!$C:$C,"D"))</f>
        <v/>
      </c>
      <c r="AG86" s="761" t="str">
        <f>IF($C86=0,"",SUMIFS(INPUT_DATA!BC:BC,INPUT_DATA!$A:$A,$C86,INPUT_DATA!$C:$C,"D"))</f>
        <v/>
      </c>
      <c r="AH86" s="761" t="str">
        <f>IF($C86=0,"",SUMIFS(INPUT_DATA!BD:BD,INPUT_DATA!$A:$A,$C86,INPUT_DATA!$C:$C,"D"))</f>
        <v/>
      </c>
      <c r="AI86" s="761" t="str">
        <f>IF($C86=0,"",SUMIFS(INPUT_DATA!BE:BE,INPUT_DATA!$A:$A,$C86,INPUT_DATA!$C:$C,"D"))</f>
        <v/>
      </c>
      <c r="AJ86" s="314" t="str">
        <f t="shared" si="13"/>
        <v/>
      </c>
      <c r="AK86" s="769" t="str">
        <f>IF($C86=0,"",SUMIFS(INPUT_DATA!BG:BG,INPUT_DATA!$A:$A,$C86,INPUT_DATA!$C:$C,"D"))</f>
        <v/>
      </c>
      <c r="AL86" s="769" t="str">
        <f>IF($C86=0,"",SUMIFS(INPUT_DATA!BH:BH,INPUT_DATA!$A:$A,$C86,INPUT_DATA!$C:$C,"D"))</f>
        <v/>
      </c>
      <c r="AM86" s="769" t="str">
        <f>IF($C86=0,"",SUMIFS(INPUT_DATA!BI:BI,INPUT_DATA!$A:$A,$C86,INPUT_DATA!$C:$C,"D"))</f>
        <v/>
      </c>
      <c r="AN86" s="767" t="str">
        <f t="shared" si="17"/>
        <v/>
      </c>
      <c r="AO86" s="772" t="str">
        <f>IF($C86=0,"",SUMIFS(INPUT_DATA!BK:BK,INPUT_DATA!$A:$A,$C86,INPUT_DATA!$C:$C,"D"))</f>
        <v/>
      </c>
      <c r="AP86" s="354" t="str">
        <f t="shared" si="18"/>
        <v/>
      </c>
      <c r="AQ86" s="149"/>
      <c r="AS86" s="354" t="str">
        <f t="shared" si="19"/>
        <v/>
      </c>
      <c r="AU86" s="378" t="str">
        <f>IF($C86=0,"",'03 - Monthly Asset Follow up'!E90+'03 - Monthly Asset Follow up'!F90-'03 - Monthly Asset Follow up'!U90+'03 - Monthly Asset Follow up'!X90-H86)</f>
        <v/>
      </c>
      <c r="AV86" s="378" t="str">
        <f>IF($C86=0,"",'03 - Monthly Asset Follow up'!BD90+'03 - Monthly Asset Follow up'!BE90-'03 - Monthly Asset Follow up'!BT90+'03 - Monthly Asset Follow up'!BW90-AA86)</f>
        <v/>
      </c>
      <c r="AX86" s="154"/>
    </row>
    <row r="87" spans="2:50" x14ac:dyDescent="0.2">
      <c r="B87" s="753" t="str">
        <f t="shared" si="14"/>
        <v/>
      </c>
      <c r="C87" s="756">
        <f>'03 - Monthly Asset Follow up'!B91</f>
        <v>0</v>
      </c>
      <c r="D87" s="149"/>
      <c r="E87" s="749" t="str">
        <f>IF($C87=0,"",SUMIFS(INPUT_DATA!AU:AU,INPUT_DATA!$A:$A,$C87,INPUT_DATA!$C:$C,"S"))</f>
        <v/>
      </c>
      <c r="F87" s="761" t="str">
        <f>IF($C87=0,"",SUMIFS(INPUT_DATA!AV:AV,INPUT_DATA!$A:$A,$C87,INPUT_DATA!$C:$C,"S"))</f>
        <v/>
      </c>
      <c r="G87" s="761" t="str">
        <f>IF($C87=0,"",SUMIFS(INPUT_DATA!AW:AW,INPUT_DATA!$A:$A,$C87,INPUT_DATA!$C:$C,"S"))</f>
        <v/>
      </c>
      <c r="H87" s="763" t="str">
        <f t="shared" si="10"/>
        <v/>
      </c>
      <c r="I87" s="761" t="str">
        <f>IF($C87=0,"",SUMIFS(INPUT_DATA!AY:AY,INPUT_DATA!$A:$A,$C87,INPUT_DATA!$C:$C,"S"))</f>
        <v/>
      </c>
      <c r="J87" s="761" t="str">
        <f>IF($C87=0,"",SUMIFS(INPUT_DATA!AZ:AZ,INPUT_DATA!$A:$A,$C87,INPUT_DATA!$C:$C,"S"))</f>
        <v/>
      </c>
      <c r="K87" s="761" t="str">
        <f>IF($C87=0,"",SUMIFS(INPUT_DATA!BA:BA,INPUT_DATA!$A:$A,$C87,INPUT_DATA!$C:$C,"S"))</f>
        <v/>
      </c>
      <c r="L87" s="761" t="str">
        <f>IF($C87=0,"",SUMIFS(INPUT_DATA!BB:BB,INPUT_DATA!$A:$A,$C87,INPUT_DATA!$C:$C,"S"))</f>
        <v/>
      </c>
      <c r="M87" s="761" t="str">
        <f>IF($C87=0,"",SUMIFS(INPUT_DATA!BC:BC,INPUT_DATA!$A:$A,$C87,INPUT_DATA!$C:$C,"S"))</f>
        <v/>
      </c>
      <c r="N87" s="761" t="str">
        <f>IF($C87=0,"",SUMIFS(INPUT_DATA!BD:BD,INPUT_DATA!$A:$A,$C87,INPUT_DATA!$C:$C,"S"))</f>
        <v/>
      </c>
      <c r="O87" s="761" t="str">
        <f>IF($C87=0,"",SUMIFS(INPUT_DATA!BE:BE,INPUT_DATA!$A:$A,$C87,INPUT_DATA!$C:$C,"S"))</f>
        <v/>
      </c>
      <c r="P87" s="761" t="str">
        <f>IF($C87=0,"",SUMIFS(INPUT_DATA!BF:BF,INPUT_DATA!$A:$A,$C87,INPUT_DATA!$C:$C,"S"))</f>
        <v/>
      </c>
      <c r="Q87" s="767" t="str">
        <f t="shared" si="15"/>
        <v/>
      </c>
      <c r="R87" s="769" t="str">
        <f>IF($C87=0,"",SUMIFS(INPUT_DATA!BH:BH,INPUT_DATA!$A:$A,$C87,INPUT_DATA!$C:$C,"S"))</f>
        <v/>
      </c>
      <c r="S87" s="769" t="str">
        <f>IF($C87=0,"",SUMIFS(INPUT_DATA!BI:BI,INPUT_DATA!$A:$A,$C87,INPUT_DATA!$C:$C,"S"))</f>
        <v/>
      </c>
      <c r="T87" s="767" t="str">
        <f t="shared" si="16"/>
        <v/>
      </c>
      <c r="U87" s="772" t="str">
        <f>IF($C87=0,"",SUMIFS(INPUT_DATA!BL:BL,INPUT_DATA!$A:$A,$C87,INPUT_DATA!$C:$C,"S"))</f>
        <v/>
      </c>
      <c r="V87" s="155" t="str">
        <f t="shared" si="11"/>
        <v/>
      </c>
      <c r="W87" s="149"/>
      <c r="X87" s="749" t="str">
        <f>IF($C87=0,"",SUMIFS(INPUT_DATA!AU:AU,INPUT_DATA!$A:$A,$C87,INPUT_DATA!$C:$C,"D"))</f>
        <v/>
      </c>
      <c r="Y87" s="761" t="str">
        <f>IF($C87=0,"",SUMIFS(INPUT_DATA!AV:AV,INPUT_DATA!$A:$A,$C87,INPUT_DATA!$C:$C,"D"))</f>
        <v/>
      </c>
      <c r="Z87" s="761" t="str">
        <f>IF($C87=0,"",SUMIFS(INPUT_DATA!AW:AW,INPUT_DATA!$A:$A,$C87,INPUT_DATA!$C:$C,"D"))</f>
        <v/>
      </c>
      <c r="AA87" s="762" t="str">
        <f t="shared" si="12"/>
        <v/>
      </c>
      <c r="AB87" s="761" t="str">
        <f>IF($C87=0,"",SUMIFS(INPUT_DATA!AX:AX,INPUT_DATA!$A:$A,$C87,INPUT_DATA!$C:$C,"D"))</f>
        <v/>
      </c>
      <c r="AC87" s="761" t="str">
        <f>IF($C87=0,"",SUMIFS(INPUT_DATA!AY:AY,INPUT_DATA!$A:$A,$C87,INPUT_DATA!$C:$C,"D"))</f>
        <v/>
      </c>
      <c r="AD87" s="761" t="str">
        <f>IF($C87=0,"",SUMIFS(INPUT_DATA!AZ:AZ,INPUT_DATA!$A:$A,$C87,INPUT_DATA!$C:$C,"D"))</f>
        <v/>
      </c>
      <c r="AE87" s="761" t="str">
        <f>IF($C87=0,"",SUMIFS(INPUT_DATA!BA:BA,INPUT_DATA!$A:$A,$C87,INPUT_DATA!$C:$C,"D"))</f>
        <v/>
      </c>
      <c r="AF87" s="761" t="str">
        <f>IF($C87=0,"",SUMIFS(INPUT_DATA!BB:BB,INPUT_DATA!$A:$A,$C87,INPUT_DATA!$C:$C,"D"))</f>
        <v/>
      </c>
      <c r="AG87" s="761" t="str">
        <f>IF($C87=0,"",SUMIFS(INPUT_DATA!BC:BC,INPUT_DATA!$A:$A,$C87,INPUT_DATA!$C:$C,"D"))</f>
        <v/>
      </c>
      <c r="AH87" s="761" t="str">
        <f>IF($C87=0,"",SUMIFS(INPUT_DATA!BD:BD,INPUT_DATA!$A:$A,$C87,INPUT_DATA!$C:$C,"D"))</f>
        <v/>
      </c>
      <c r="AI87" s="761" t="str">
        <f>IF($C87=0,"",SUMIFS(INPUT_DATA!BE:BE,INPUT_DATA!$A:$A,$C87,INPUT_DATA!$C:$C,"D"))</f>
        <v/>
      </c>
      <c r="AJ87" s="314" t="str">
        <f t="shared" si="13"/>
        <v/>
      </c>
      <c r="AK87" s="769" t="str">
        <f>IF($C87=0,"",SUMIFS(INPUT_DATA!BG:BG,INPUT_DATA!$A:$A,$C87,INPUT_DATA!$C:$C,"D"))</f>
        <v/>
      </c>
      <c r="AL87" s="769" t="str">
        <f>IF($C87=0,"",SUMIFS(INPUT_DATA!BH:BH,INPUT_DATA!$A:$A,$C87,INPUT_DATA!$C:$C,"D"))</f>
        <v/>
      </c>
      <c r="AM87" s="769" t="str">
        <f>IF($C87=0,"",SUMIFS(INPUT_DATA!BI:BI,INPUT_DATA!$A:$A,$C87,INPUT_DATA!$C:$C,"D"))</f>
        <v/>
      </c>
      <c r="AN87" s="767" t="str">
        <f t="shared" si="17"/>
        <v/>
      </c>
      <c r="AO87" s="772" t="str">
        <f>IF($C87=0,"",SUMIFS(INPUT_DATA!BK:BK,INPUT_DATA!$A:$A,$C87,INPUT_DATA!$C:$C,"D"))</f>
        <v/>
      </c>
      <c r="AP87" s="354" t="str">
        <f t="shared" si="18"/>
        <v/>
      </c>
      <c r="AQ87" s="149"/>
      <c r="AS87" s="354" t="str">
        <f t="shared" si="19"/>
        <v/>
      </c>
      <c r="AU87" s="378" t="str">
        <f>IF($C87=0,"",'03 - Monthly Asset Follow up'!E91+'03 - Monthly Asset Follow up'!F91-'03 - Monthly Asset Follow up'!U91+'03 - Monthly Asset Follow up'!X91-H87)</f>
        <v/>
      </c>
      <c r="AV87" s="378" t="str">
        <f>IF($C87=0,"",'03 - Monthly Asset Follow up'!BD91+'03 - Monthly Asset Follow up'!BE91-'03 - Monthly Asset Follow up'!BT91+'03 - Monthly Asset Follow up'!BW91-AA87)</f>
        <v/>
      </c>
      <c r="AX87" s="154"/>
    </row>
    <row r="88" spans="2:50" x14ac:dyDescent="0.2">
      <c r="B88" s="753" t="str">
        <f t="shared" si="14"/>
        <v/>
      </c>
      <c r="C88" s="756">
        <f>'03 - Monthly Asset Follow up'!B92</f>
        <v>0</v>
      </c>
      <c r="D88" s="149"/>
      <c r="E88" s="749" t="str">
        <f>IF($C88=0,"",SUMIFS(INPUT_DATA!AU:AU,INPUT_DATA!$A:$A,$C88,INPUT_DATA!$C:$C,"S"))</f>
        <v/>
      </c>
      <c r="F88" s="761" t="str">
        <f>IF($C88=0,"",SUMIFS(INPUT_DATA!AV:AV,INPUT_DATA!$A:$A,$C88,INPUT_DATA!$C:$C,"S"))</f>
        <v/>
      </c>
      <c r="G88" s="761" t="str">
        <f>IF($C88=0,"",SUMIFS(INPUT_DATA!AW:AW,INPUT_DATA!$A:$A,$C88,INPUT_DATA!$C:$C,"S"))</f>
        <v/>
      </c>
      <c r="H88" s="763" t="str">
        <f t="shared" si="10"/>
        <v/>
      </c>
      <c r="I88" s="761" t="str">
        <f>IF($C88=0,"",SUMIFS(INPUT_DATA!AY:AY,INPUT_DATA!$A:$A,$C88,INPUT_DATA!$C:$C,"S"))</f>
        <v/>
      </c>
      <c r="J88" s="761" t="str">
        <f>IF($C88=0,"",SUMIFS(INPUT_DATA!AZ:AZ,INPUT_DATA!$A:$A,$C88,INPUT_DATA!$C:$C,"S"))</f>
        <v/>
      </c>
      <c r="K88" s="761" t="str">
        <f>IF($C88=0,"",SUMIFS(INPUT_DATA!BA:BA,INPUT_DATA!$A:$A,$C88,INPUT_DATA!$C:$C,"S"))</f>
        <v/>
      </c>
      <c r="L88" s="761" t="str">
        <f>IF($C88=0,"",SUMIFS(INPUT_DATA!BB:BB,INPUT_DATA!$A:$A,$C88,INPUT_DATA!$C:$C,"S"))</f>
        <v/>
      </c>
      <c r="M88" s="761" t="str">
        <f>IF($C88=0,"",SUMIFS(INPUT_DATA!BC:BC,INPUT_DATA!$A:$A,$C88,INPUT_DATA!$C:$C,"S"))</f>
        <v/>
      </c>
      <c r="N88" s="761" t="str">
        <f>IF($C88=0,"",SUMIFS(INPUT_DATA!BD:BD,INPUT_DATA!$A:$A,$C88,INPUT_DATA!$C:$C,"S"))</f>
        <v/>
      </c>
      <c r="O88" s="761" t="str">
        <f>IF($C88=0,"",SUMIFS(INPUT_DATA!BE:BE,INPUT_DATA!$A:$A,$C88,INPUT_DATA!$C:$C,"S"))</f>
        <v/>
      </c>
      <c r="P88" s="761" t="str">
        <f>IF($C88=0,"",SUMIFS(INPUT_DATA!BF:BF,INPUT_DATA!$A:$A,$C88,INPUT_DATA!$C:$C,"S"))</f>
        <v/>
      </c>
      <c r="Q88" s="767" t="str">
        <f t="shared" si="15"/>
        <v/>
      </c>
      <c r="R88" s="769" t="str">
        <f>IF($C88=0,"",SUMIFS(INPUT_DATA!BH:BH,INPUT_DATA!$A:$A,$C88,INPUT_DATA!$C:$C,"S"))</f>
        <v/>
      </c>
      <c r="S88" s="769" t="str">
        <f>IF($C88=0,"",SUMIFS(INPUT_DATA!BI:BI,INPUT_DATA!$A:$A,$C88,INPUT_DATA!$C:$C,"S"))</f>
        <v/>
      </c>
      <c r="T88" s="767" t="str">
        <f t="shared" si="16"/>
        <v/>
      </c>
      <c r="U88" s="772" t="str">
        <f>IF($C88=0,"",SUMIFS(INPUT_DATA!BL:BL,INPUT_DATA!$A:$A,$C88,INPUT_DATA!$C:$C,"S"))</f>
        <v/>
      </c>
      <c r="V88" s="155" t="str">
        <f t="shared" si="11"/>
        <v/>
      </c>
      <c r="W88" s="149"/>
      <c r="X88" s="749" t="str">
        <f>IF($C88=0,"",SUMIFS(INPUT_DATA!AU:AU,INPUT_DATA!$A:$A,$C88,INPUT_DATA!$C:$C,"D"))</f>
        <v/>
      </c>
      <c r="Y88" s="761" t="str">
        <f>IF($C88=0,"",SUMIFS(INPUT_DATA!AV:AV,INPUT_DATA!$A:$A,$C88,INPUT_DATA!$C:$C,"D"))</f>
        <v/>
      </c>
      <c r="Z88" s="761" t="str">
        <f>IF($C88=0,"",SUMIFS(INPUT_DATA!AW:AW,INPUT_DATA!$A:$A,$C88,INPUT_DATA!$C:$C,"D"))</f>
        <v/>
      </c>
      <c r="AA88" s="762" t="str">
        <f t="shared" si="12"/>
        <v/>
      </c>
      <c r="AB88" s="761" t="str">
        <f>IF($C88=0,"",SUMIFS(INPUT_DATA!AX:AX,INPUT_DATA!$A:$A,$C88,INPUT_DATA!$C:$C,"D"))</f>
        <v/>
      </c>
      <c r="AC88" s="761" t="str">
        <f>IF($C88=0,"",SUMIFS(INPUT_DATA!AY:AY,INPUT_DATA!$A:$A,$C88,INPUT_DATA!$C:$C,"D"))</f>
        <v/>
      </c>
      <c r="AD88" s="761" t="str">
        <f>IF($C88=0,"",SUMIFS(INPUT_DATA!AZ:AZ,INPUT_DATA!$A:$A,$C88,INPUT_DATA!$C:$C,"D"))</f>
        <v/>
      </c>
      <c r="AE88" s="761" t="str">
        <f>IF($C88=0,"",SUMIFS(INPUT_DATA!BA:BA,INPUT_DATA!$A:$A,$C88,INPUT_DATA!$C:$C,"D"))</f>
        <v/>
      </c>
      <c r="AF88" s="761" t="str">
        <f>IF($C88=0,"",SUMIFS(INPUT_DATA!BB:BB,INPUT_DATA!$A:$A,$C88,INPUT_DATA!$C:$C,"D"))</f>
        <v/>
      </c>
      <c r="AG88" s="761" t="str">
        <f>IF($C88=0,"",SUMIFS(INPUT_DATA!BC:BC,INPUT_DATA!$A:$A,$C88,INPUT_DATA!$C:$C,"D"))</f>
        <v/>
      </c>
      <c r="AH88" s="761" t="str">
        <f>IF($C88=0,"",SUMIFS(INPUT_DATA!BD:BD,INPUT_DATA!$A:$A,$C88,INPUT_DATA!$C:$C,"D"))</f>
        <v/>
      </c>
      <c r="AI88" s="761" t="str">
        <f>IF($C88=0,"",SUMIFS(INPUT_DATA!BE:BE,INPUT_DATA!$A:$A,$C88,INPUT_DATA!$C:$C,"D"))</f>
        <v/>
      </c>
      <c r="AJ88" s="314" t="str">
        <f t="shared" si="13"/>
        <v/>
      </c>
      <c r="AK88" s="769" t="str">
        <f>IF($C88=0,"",SUMIFS(INPUT_DATA!BG:BG,INPUT_DATA!$A:$A,$C88,INPUT_DATA!$C:$C,"D"))</f>
        <v/>
      </c>
      <c r="AL88" s="769" t="str">
        <f>IF($C88=0,"",SUMIFS(INPUT_DATA!BH:BH,INPUT_DATA!$A:$A,$C88,INPUT_DATA!$C:$C,"D"))</f>
        <v/>
      </c>
      <c r="AM88" s="769" t="str">
        <f>IF($C88=0,"",SUMIFS(INPUT_DATA!BI:BI,INPUT_DATA!$A:$A,$C88,INPUT_DATA!$C:$C,"D"))</f>
        <v/>
      </c>
      <c r="AN88" s="767" t="str">
        <f t="shared" si="17"/>
        <v/>
      </c>
      <c r="AO88" s="772" t="str">
        <f>IF($C88=0,"",SUMIFS(INPUT_DATA!BK:BK,INPUT_DATA!$A:$A,$C88,INPUT_DATA!$C:$C,"D"))</f>
        <v/>
      </c>
      <c r="AP88" s="354" t="str">
        <f t="shared" si="18"/>
        <v/>
      </c>
      <c r="AQ88" s="149"/>
      <c r="AS88" s="354" t="str">
        <f t="shared" si="19"/>
        <v/>
      </c>
      <c r="AU88" s="378" t="str">
        <f>IF($C88=0,"",'03 - Monthly Asset Follow up'!E92+'03 - Monthly Asset Follow up'!F92-'03 - Monthly Asset Follow up'!U92+'03 - Monthly Asset Follow up'!X92-H88)</f>
        <v/>
      </c>
      <c r="AV88" s="378" t="str">
        <f>IF($C88=0,"",'03 - Monthly Asset Follow up'!BD92+'03 - Monthly Asset Follow up'!BE92-'03 - Monthly Asset Follow up'!BT92+'03 - Monthly Asset Follow up'!BW92-AA88)</f>
        <v/>
      </c>
      <c r="AX88" s="154"/>
    </row>
    <row r="89" spans="2:50" x14ac:dyDescent="0.2">
      <c r="B89" s="753" t="str">
        <f t="shared" si="14"/>
        <v/>
      </c>
      <c r="C89" s="756">
        <f>'03 - Monthly Asset Follow up'!B93</f>
        <v>0</v>
      </c>
      <c r="D89" s="149"/>
      <c r="E89" s="749" t="str">
        <f>IF($C89=0,"",SUMIFS(INPUT_DATA!AU:AU,INPUT_DATA!$A:$A,$C89,INPUT_DATA!$C:$C,"S"))</f>
        <v/>
      </c>
      <c r="F89" s="761" t="str">
        <f>IF($C89=0,"",SUMIFS(INPUT_DATA!AV:AV,INPUT_DATA!$A:$A,$C89,INPUT_DATA!$C:$C,"S"))</f>
        <v/>
      </c>
      <c r="G89" s="761" t="str">
        <f>IF($C89=0,"",SUMIFS(INPUT_DATA!AW:AW,INPUT_DATA!$A:$A,$C89,INPUT_DATA!$C:$C,"S"))</f>
        <v/>
      </c>
      <c r="H89" s="763" t="str">
        <f t="shared" si="10"/>
        <v/>
      </c>
      <c r="I89" s="761" t="str">
        <f>IF($C89=0,"",SUMIFS(INPUT_DATA!AY:AY,INPUT_DATA!$A:$A,$C89,INPUT_DATA!$C:$C,"S"))</f>
        <v/>
      </c>
      <c r="J89" s="761" t="str">
        <f>IF($C89=0,"",SUMIFS(INPUT_DATA!AZ:AZ,INPUT_DATA!$A:$A,$C89,INPUT_DATA!$C:$C,"S"))</f>
        <v/>
      </c>
      <c r="K89" s="761" t="str">
        <f>IF($C89=0,"",SUMIFS(INPUT_DATA!BA:BA,INPUT_DATA!$A:$A,$C89,INPUT_DATA!$C:$C,"S"))</f>
        <v/>
      </c>
      <c r="L89" s="761" t="str">
        <f>IF($C89=0,"",SUMIFS(INPUT_DATA!BB:BB,INPUT_DATA!$A:$A,$C89,INPUT_DATA!$C:$C,"S"))</f>
        <v/>
      </c>
      <c r="M89" s="761" t="str">
        <f>IF($C89=0,"",SUMIFS(INPUT_DATA!BC:BC,INPUT_DATA!$A:$A,$C89,INPUT_DATA!$C:$C,"S"))</f>
        <v/>
      </c>
      <c r="N89" s="761" t="str">
        <f>IF($C89=0,"",SUMIFS(INPUT_DATA!BD:BD,INPUT_DATA!$A:$A,$C89,INPUT_DATA!$C:$C,"S"))</f>
        <v/>
      </c>
      <c r="O89" s="761" t="str">
        <f>IF($C89=0,"",SUMIFS(INPUT_DATA!BE:BE,INPUT_DATA!$A:$A,$C89,INPUT_DATA!$C:$C,"S"))</f>
        <v/>
      </c>
      <c r="P89" s="761" t="str">
        <f>IF($C89=0,"",SUMIFS(INPUT_DATA!BF:BF,INPUT_DATA!$A:$A,$C89,INPUT_DATA!$C:$C,"S"))</f>
        <v/>
      </c>
      <c r="Q89" s="767" t="str">
        <f t="shared" si="15"/>
        <v/>
      </c>
      <c r="R89" s="769" t="str">
        <f>IF($C89=0,"",SUMIFS(INPUT_DATA!BH:BH,INPUT_DATA!$A:$A,$C89,INPUT_DATA!$C:$C,"S"))</f>
        <v/>
      </c>
      <c r="S89" s="769" t="str">
        <f>IF($C89=0,"",SUMIFS(INPUT_DATA!BI:BI,INPUT_DATA!$A:$A,$C89,INPUT_DATA!$C:$C,"S"))</f>
        <v/>
      </c>
      <c r="T89" s="767" t="str">
        <f t="shared" si="16"/>
        <v/>
      </c>
      <c r="U89" s="772" t="str">
        <f>IF($C89=0,"",SUMIFS(INPUT_DATA!BL:BL,INPUT_DATA!$A:$A,$C89,INPUT_DATA!$C:$C,"S"))</f>
        <v/>
      </c>
      <c r="V89" s="155" t="str">
        <f t="shared" si="11"/>
        <v/>
      </c>
      <c r="W89" s="149"/>
      <c r="X89" s="749" t="str">
        <f>IF($C89=0,"",SUMIFS(INPUT_DATA!AU:AU,INPUT_DATA!$A:$A,$C89,INPUT_DATA!$C:$C,"D"))</f>
        <v/>
      </c>
      <c r="Y89" s="761" t="str">
        <f>IF($C89=0,"",SUMIFS(INPUT_DATA!AV:AV,INPUT_DATA!$A:$A,$C89,INPUT_DATA!$C:$C,"D"))</f>
        <v/>
      </c>
      <c r="Z89" s="761" t="str">
        <f>IF($C89=0,"",SUMIFS(INPUT_DATA!AW:AW,INPUT_DATA!$A:$A,$C89,INPUT_DATA!$C:$C,"D"))</f>
        <v/>
      </c>
      <c r="AA89" s="762" t="str">
        <f t="shared" si="12"/>
        <v/>
      </c>
      <c r="AB89" s="761" t="str">
        <f>IF($C89=0,"",SUMIFS(INPUT_DATA!AX:AX,INPUT_DATA!$A:$A,$C89,INPUT_DATA!$C:$C,"D"))</f>
        <v/>
      </c>
      <c r="AC89" s="761" t="str">
        <f>IF($C89=0,"",SUMIFS(INPUT_DATA!AY:AY,INPUT_DATA!$A:$A,$C89,INPUT_DATA!$C:$C,"D"))</f>
        <v/>
      </c>
      <c r="AD89" s="761" t="str">
        <f>IF($C89=0,"",SUMIFS(INPUT_DATA!AZ:AZ,INPUT_DATA!$A:$A,$C89,INPUT_DATA!$C:$C,"D"))</f>
        <v/>
      </c>
      <c r="AE89" s="761" t="str">
        <f>IF($C89=0,"",SUMIFS(INPUT_DATA!BA:BA,INPUT_DATA!$A:$A,$C89,INPUT_DATA!$C:$C,"D"))</f>
        <v/>
      </c>
      <c r="AF89" s="761" t="str">
        <f>IF($C89=0,"",SUMIFS(INPUT_DATA!BB:BB,INPUT_DATA!$A:$A,$C89,INPUT_DATA!$C:$C,"D"))</f>
        <v/>
      </c>
      <c r="AG89" s="761" t="str">
        <f>IF($C89=0,"",SUMIFS(INPUT_DATA!BC:BC,INPUT_DATA!$A:$A,$C89,INPUT_DATA!$C:$C,"D"))</f>
        <v/>
      </c>
      <c r="AH89" s="761" t="str">
        <f>IF($C89=0,"",SUMIFS(INPUT_DATA!BD:BD,INPUT_DATA!$A:$A,$C89,INPUT_DATA!$C:$C,"D"))</f>
        <v/>
      </c>
      <c r="AI89" s="761" t="str">
        <f>IF($C89=0,"",SUMIFS(INPUT_DATA!BE:BE,INPUT_DATA!$A:$A,$C89,INPUT_DATA!$C:$C,"D"))</f>
        <v/>
      </c>
      <c r="AJ89" s="314" t="str">
        <f t="shared" si="13"/>
        <v/>
      </c>
      <c r="AK89" s="769" t="str">
        <f>IF($C89=0,"",SUMIFS(INPUT_DATA!BG:BG,INPUT_DATA!$A:$A,$C89,INPUT_DATA!$C:$C,"D"))</f>
        <v/>
      </c>
      <c r="AL89" s="769" t="str">
        <f>IF($C89=0,"",SUMIFS(INPUT_DATA!BH:BH,INPUT_DATA!$A:$A,$C89,INPUT_DATA!$C:$C,"D"))</f>
        <v/>
      </c>
      <c r="AM89" s="769" t="str">
        <f>IF($C89=0,"",SUMIFS(INPUT_DATA!BI:BI,INPUT_DATA!$A:$A,$C89,INPUT_DATA!$C:$C,"D"))</f>
        <v/>
      </c>
      <c r="AN89" s="767" t="str">
        <f t="shared" si="17"/>
        <v/>
      </c>
      <c r="AO89" s="772" t="str">
        <f>IF($C89=0,"",SUMIFS(INPUT_DATA!BK:BK,INPUT_DATA!$A:$A,$C89,INPUT_DATA!$C:$C,"D"))</f>
        <v/>
      </c>
      <c r="AP89" s="354" t="str">
        <f t="shared" si="18"/>
        <v/>
      </c>
      <c r="AQ89" s="149"/>
      <c r="AS89" s="354" t="str">
        <f t="shared" si="19"/>
        <v/>
      </c>
      <c r="AU89" s="378" t="str">
        <f>IF($C89=0,"",'03 - Monthly Asset Follow up'!E93+'03 - Monthly Asset Follow up'!F93-'03 - Monthly Asset Follow up'!U93+'03 - Monthly Asset Follow up'!X93-H89)</f>
        <v/>
      </c>
      <c r="AV89" s="378" t="str">
        <f>IF($C89=0,"",'03 - Monthly Asset Follow up'!BD93+'03 - Monthly Asset Follow up'!BE93-'03 - Monthly Asset Follow up'!BT93+'03 - Monthly Asset Follow up'!BW93-AA89)</f>
        <v/>
      </c>
      <c r="AX89" s="154"/>
    </row>
    <row r="90" spans="2:50" x14ac:dyDescent="0.2">
      <c r="B90" s="753" t="str">
        <f t="shared" si="14"/>
        <v/>
      </c>
      <c r="C90" s="756">
        <f>'03 - Monthly Asset Follow up'!B94</f>
        <v>0</v>
      </c>
      <c r="D90" s="149"/>
      <c r="E90" s="749" t="str">
        <f>IF($C90=0,"",SUMIFS(INPUT_DATA!AU:AU,INPUT_DATA!$A:$A,$C90,INPUT_DATA!$C:$C,"S"))</f>
        <v/>
      </c>
      <c r="F90" s="761" t="str">
        <f>IF($C90=0,"",SUMIFS(INPUT_DATA!AV:AV,INPUT_DATA!$A:$A,$C90,INPUT_DATA!$C:$C,"S"))</f>
        <v/>
      </c>
      <c r="G90" s="761" t="str">
        <f>IF($C90=0,"",SUMIFS(INPUT_DATA!AW:AW,INPUT_DATA!$A:$A,$C90,INPUT_DATA!$C:$C,"S"))</f>
        <v/>
      </c>
      <c r="H90" s="763" t="str">
        <f t="shared" si="10"/>
        <v/>
      </c>
      <c r="I90" s="761" t="str">
        <f>IF($C90=0,"",SUMIFS(INPUT_DATA!AY:AY,INPUT_DATA!$A:$A,$C90,INPUT_DATA!$C:$C,"S"))</f>
        <v/>
      </c>
      <c r="J90" s="761" t="str">
        <f>IF($C90=0,"",SUMIFS(INPUT_DATA!AZ:AZ,INPUT_DATA!$A:$A,$C90,INPUT_DATA!$C:$C,"S"))</f>
        <v/>
      </c>
      <c r="K90" s="761" t="str">
        <f>IF($C90=0,"",SUMIFS(INPUT_DATA!BA:BA,INPUT_DATA!$A:$A,$C90,INPUT_DATA!$C:$C,"S"))</f>
        <v/>
      </c>
      <c r="L90" s="761" t="str">
        <f>IF($C90=0,"",SUMIFS(INPUT_DATA!BB:BB,INPUT_DATA!$A:$A,$C90,INPUT_DATA!$C:$C,"S"))</f>
        <v/>
      </c>
      <c r="M90" s="761" t="str">
        <f>IF($C90=0,"",SUMIFS(INPUT_DATA!BC:BC,INPUT_DATA!$A:$A,$C90,INPUT_DATA!$C:$C,"S"))</f>
        <v/>
      </c>
      <c r="N90" s="761" t="str">
        <f>IF($C90=0,"",SUMIFS(INPUT_DATA!BD:BD,INPUT_DATA!$A:$A,$C90,INPUT_DATA!$C:$C,"S"))</f>
        <v/>
      </c>
      <c r="O90" s="761" t="str">
        <f>IF($C90=0,"",SUMIFS(INPUT_DATA!BE:BE,INPUT_DATA!$A:$A,$C90,INPUT_DATA!$C:$C,"S"))</f>
        <v/>
      </c>
      <c r="P90" s="761" t="str">
        <f>IF($C90=0,"",SUMIFS(INPUT_DATA!BF:BF,INPUT_DATA!$A:$A,$C90,INPUT_DATA!$C:$C,"S"))</f>
        <v/>
      </c>
      <c r="Q90" s="767" t="str">
        <f t="shared" si="15"/>
        <v/>
      </c>
      <c r="R90" s="769" t="str">
        <f>IF($C90=0,"",SUMIFS(INPUT_DATA!BH:BH,INPUT_DATA!$A:$A,$C90,INPUT_DATA!$C:$C,"S"))</f>
        <v/>
      </c>
      <c r="S90" s="769" t="str">
        <f>IF($C90=0,"",SUMIFS(INPUT_DATA!BI:BI,INPUT_DATA!$A:$A,$C90,INPUT_DATA!$C:$C,"S"))</f>
        <v/>
      </c>
      <c r="T90" s="767" t="str">
        <f t="shared" si="16"/>
        <v/>
      </c>
      <c r="U90" s="772" t="str">
        <f>IF($C90=0,"",SUMIFS(INPUT_DATA!BL:BL,INPUT_DATA!$A:$A,$C90,INPUT_DATA!$C:$C,"S"))</f>
        <v/>
      </c>
      <c r="V90" s="155" t="str">
        <f t="shared" si="11"/>
        <v/>
      </c>
      <c r="W90" s="149"/>
      <c r="X90" s="749" t="str">
        <f>IF($C90=0,"",SUMIFS(INPUT_DATA!AU:AU,INPUT_DATA!$A:$A,$C90,INPUT_DATA!$C:$C,"D"))</f>
        <v/>
      </c>
      <c r="Y90" s="761" t="str">
        <f>IF($C90=0,"",SUMIFS(INPUT_DATA!AV:AV,INPUT_DATA!$A:$A,$C90,INPUT_DATA!$C:$C,"D"))</f>
        <v/>
      </c>
      <c r="Z90" s="761" t="str">
        <f>IF($C90=0,"",SUMIFS(INPUT_DATA!AW:AW,INPUT_DATA!$A:$A,$C90,INPUT_DATA!$C:$C,"D"))</f>
        <v/>
      </c>
      <c r="AA90" s="762" t="str">
        <f t="shared" si="12"/>
        <v/>
      </c>
      <c r="AB90" s="761" t="str">
        <f>IF($C90=0,"",SUMIFS(INPUT_DATA!AX:AX,INPUT_DATA!$A:$A,$C90,INPUT_DATA!$C:$C,"D"))</f>
        <v/>
      </c>
      <c r="AC90" s="761" t="str">
        <f>IF($C90=0,"",SUMIFS(INPUT_DATA!AY:AY,INPUT_DATA!$A:$A,$C90,INPUT_DATA!$C:$C,"D"))</f>
        <v/>
      </c>
      <c r="AD90" s="761" t="str">
        <f>IF($C90=0,"",SUMIFS(INPUT_DATA!AZ:AZ,INPUT_DATA!$A:$A,$C90,INPUT_DATA!$C:$C,"D"))</f>
        <v/>
      </c>
      <c r="AE90" s="761" t="str">
        <f>IF($C90=0,"",SUMIFS(INPUT_DATA!BA:BA,INPUT_DATA!$A:$A,$C90,INPUT_DATA!$C:$C,"D"))</f>
        <v/>
      </c>
      <c r="AF90" s="761" t="str">
        <f>IF($C90=0,"",SUMIFS(INPUT_DATA!BB:BB,INPUT_DATA!$A:$A,$C90,INPUT_DATA!$C:$C,"D"))</f>
        <v/>
      </c>
      <c r="AG90" s="761" t="str">
        <f>IF($C90=0,"",SUMIFS(INPUT_DATA!BC:BC,INPUT_DATA!$A:$A,$C90,INPUT_DATA!$C:$C,"D"))</f>
        <v/>
      </c>
      <c r="AH90" s="761" t="str">
        <f>IF($C90=0,"",SUMIFS(INPUT_DATA!BD:BD,INPUT_DATA!$A:$A,$C90,INPUT_DATA!$C:$C,"D"))</f>
        <v/>
      </c>
      <c r="AI90" s="761" t="str">
        <f>IF($C90=0,"",SUMIFS(INPUT_DATA!BE:BE,INPUT_DATA!$A:$A,$C90,INPUT_DATA!$C:$C,"D"))</f>
        <v/>
      </c>
      <c r="AJ90" s="314" t="str">
        <f t="shared" si="13"/>
        <v/>
      </c>
      <c r="AK90" s="769" t="str">
        <f>IF($C90=0,"",SUMIFS(INPUT_DATA!BG:BG,INPUT_DATA!$A:$A,$C90,INPUT_DATA!$C:$C,"D"))</f>
        <v/>
      </c>
      <c r="AL90" s="769" t="str">
        <f>IF($C90=0,"",SUMIFS(INPUT_DATA!BH:BH,INPUT_DATA!$A:$A,$C90,INPUT_DATA!$C:$C,"D"))</f>
        <v/>
      </c>
      <c r="AM90" s="769" t="str">
        <f>IF($C90=0,"",SUMIFS(INPUT_DATA!BI:BI,INPUT_DATA!$A:$A,$C90,INPUT_DATA!$C:$C,"D"))</f>
        <v/>
      </c>
      <c r="AN90" s="767" t="str">
        <f t="shared" si="17"/>
        <v/>
      </c>
      <c r="AO90" s="772" t="str">
        <f>IF($C90=0,"",SUMIFS(INPUT_DATA!BK:BK,INPUT_DATA!$A:$A,$C90,INPUT_DATA!$C:$C,"D"))</f>
        <v/>
      </c>
      <c r="AP90" s="354" t="str">
        <f t="shared" si="18"/>
        <v/>
      </c>
      <c r="AQ90" s="149"/>
      <c r="AS90" s="354" t="str">
        <f t="shared" si="19"/>
        <v/>
      </c>
      <c r="AU90" s="378" t="str">
        <f>IF($C90=0,"",'03 - Monthly Asset Follow up'!E94+'03 - Monthly Asset Follow up'!F94-'03 - Monthly Asset Follow up'!U94+'03 - Monthly Asset Follow up'!X94-H90)</f>
        <v/>
      </c>
      <c r="AV90" s="378" t="str">
        <f>IF($C90=0,"",'03 - Monthly Asset Follow up'!BD94+'03 - Monthly Asset Follow up'!BE94-'03 - Monthly Asset Follow up'!BT94+'03 - Monthly Asset Follow up'!BW94-AA90)</f>
        <v/>
      </c>
      <c r="AX90" s="154"/>
    </row>
    <row r="91" spans="2:50" x14ac:dyDescent="0.2">
      <c r="B91" s="753" t="str">
        <f t="shared" si="14"/>
        <v/>
      </c>
      <c r="C91" s="756">
        <f>'03 - Monthly Asset Follow up'!B95</f>
        <v>0</v>
      </c>
      <c r="D91" s="149"/>
      <c r="E91" s="749" t="str">
        <f>IF($C91=0,"",SUMIFS(INPUT_DATA!AU:AU,INPUT_DATA!$A:$A,$C91,INPUT_DATA!$C:$C,"S"))</f>
        <v/>
      </c>
      <c r="F91" s="761" t="str">
        <f>IF($C91=0,"",SUMIFS(INPUT_DATA!AV:AV,INPUT_DATA!$A:$A,$C91,INPUT_DATA!$C:$C,"S"))</f>
        <v/>
      </c>
      <c r="G91" s="761" t="str">
        <f>IF($C91=0,"",SUMIFS(INPUT_DATA!AW:AW,INPUT_DATA!$A:$A,$C91,INPUT_DATA!$C:$C,"S"))</f>
        <v/>
      </c>
      <c r="H91" s="763" t="str">
        <f t="shared" si="10"/>
        <v/>
      </c>
      <c r="I91" s="761" t="str">
        <f>IF($C91=0,"",SUMIFS(INPUT_DATA!AY:AY,INPUT_DATA!$A:$A,$C91,INPUT_DATA!$C:$C,"S"))</f>
        <v/>
      </c>
      <c r="J91" s="761" t="str">
        <f>IF($C91=0,"",SUMIFS(INPUT_DATA!AZ:AZ,INPUT_DATA!$A:$A,$C91,INPUT_DATA!$C:$C,"S"))</f>
        <v/>
      </c>
      <c r="K91" s="761" t="str">
        <f>IF($C91=0,"",SUMIFS(INPUT_DATA!BA:BA,INPUT_DATA!$A:$A,$C91,INPUT_DATA!$C:$C,"S"))</f>
        <v/>
      </c>
      <c r="L91" s="761" t="str">
        <f>IF($C91=0,"",SUMIFS(INPUT_DATA!BB:BB,INPUT_DATA!$A:$A,$C91,INPUT_DATA!$C:$C,"S"))</f>
        <v/>
      </c>
      <c r="M91" s="761" t="str">
        <f>IF($C91=0,"",SUMIFS(INPUT_DATA!BC:BC,INPUT_DATA!$A:$A,$C91,INPUT_DATA!$C:$C,"S"))</f>
        <v/>
      </c>
      <c r="N91" s="761" t="str">
        <f>IF($C91=0,"",SUMIFS(INPUT_DATA!BD:BD,INPUT_DATA!$A:$A,$C91,INPUT_DATA!$C:$C,"S"))</f>
        <v/>
      </c>
      <c r="O91" s="761" t="str">
        <f>IF($C91=0,"",SUMIFS(INPUT_DATA!BE:BE,INPUT_DATA!$A:$A,$C91,INPUT_DATA!$C:$C,"S"))</f>
        <v/>
      </c>
      <c r="P91" s="761" t="str">
        <f>IF($C91=0,"",SUMIFS(INPUT_DATA!BF:BF,INPUT_DATA!$A:$A,$C91,INPUT_DATA!$C:$C,"S"))</f>
        <v/>
      </c>
      <c r="Q91" s="767" t="str">
        <f t="shared" si="15"/>
        <v/>
      </c>
      <c r="R91" s="769" t="str">
        <f>IF($C91=0,"",SUMIFS(INPUT_DATA!BH:BH,INPUT_DATA!$A:$A,$C91,INPUT_DATA!$C:$C,"S"))</f>
        <v/>
      </c>
      <c r="S91" s="769" t="str">
        <f>IF($C91=0,"",SUMIFS(INPUT_DATA!BI:BI,INPUT_DATA!$A:$A,$C91,INPUT_DATA!$C:$C,"S"))</f>
        <v/>
      </c>
      <c r="T91" s="767" t="str">
        <f t="shared" si="16"/>
        <v/>
      </c>
      <c r="U91" s="772" t="str">
        <f>IF($C91=0,"",SUMIFS(INPUT_DATA!BL:BL,INPUT_DATA!$A:$A,$C91,INPUT_DATA!$C:$C,"S"))</f>
        <v/>
      </c>
      <c r="V91" s="155" t="str">
        <f t="shared" si="11"/>
        <v/>
      </c>
      <c r="W91" s="149"/>
      <c r="X91" s="749" t="str">
        <f>IF($C91=0,"",SUMIFS(INPUT_DATA!AU:AU,INPUT_DATA!$A:$A,$C91,INPUT_DATA!$C:$C,"D"))</f>
        <v/>
      </c>
      <c r="Y91" s="761" t="str">
        <f>IF($C91=0,"",SUMIFS(INPUT_DATA!AV:AV,INPUT_DATA!$A:$A,$C91,INPUT_DATA!$C:$C,"D"))</f>
        <v/>
      </c>
      <c r="Z91" s="761" t="str">
        <f>IF($C91=0,"",SUMIFS(INPUT_DATA!AW:AW,INPUT_DATA!$A:$A,$C91,INPUT_DATA!$C:$C,"D"))</f>
        <v/>
      </c>
      <c r="AA91" s="762" t="str">
        <f t="shared" si="12"/>
        <v/>
      </c>
      <c r="AB91" s="761" t="str">
        <f>IF($C91=0,"",SUMIFS(INPUT_DATA!AX:AX,INPUT_DATA!$A:$A,$C91,INPUT_DATA!$C:$C,"D"))</f>
        <v/>
      </c>
      <c r="AC91" s="761" t="str">
        <f>IF($C91=0,"",SUMIFS(INPUT_DATA!AY:AY,INPUT_DATA!$A:$A,$C91,INPUT_DATA!$C:$C,"D"))</f>
        <v/>
      </c>
      <c r="AD91" s="761" t="str">
        <f>IF($C91=0,"",SUMIFS(INPUT_DATA!AZ:AZ,INPUT_DATA!$A:$A,$C91,INPUT_DATA!$C:$C,"D"))</f>
        <v/>
      </c>
      <c r="AE91" s="761" t="str">
        <f>IF($C91=0,"",SUMIFS(INPUT_DATA!BA:BA,INPUT_DATA!$A:$A,$C91,INPUT_DATA!$C:$C,"D"))</f>
        <v/>
      </c>
      <c r="AF91" s="761" t="str">
        <f>IF($C91=0,"",SUMIFS(INPUT_DATA!BB:BB,INPUT_DATA!$A:$A,$C91,INPUT_DATA!$C:$C,"D"))</f>
        <v/>
      </c>
      <c r="AG91" s="761" t="str">
        <f>IF($C91=0,"",SUMIFS(INPUT_DATA!BC:BC,INPUT_DATA!$A:$A,$C91,INPUT_DATA!$C:$C,"D"))</f>
        <v/>
      </c>
      <c r="AH91" s="761" t="str">
        <f>IF($C91=0,"",SUMIFS(INPUT_DATA!BD:BD,INPUT_DATA!$A:$A,$C91,INPUT_DATA!$C:$C,"D"))</f>
        <v/>
      </c>
      <c r="AI91" s="761" t="str">
        <f>IF($C91=0,"",SUMIFS(INPUT_DATA!BE:BE,INPUT_DATA!$A:$A,$C91,INPUT_DATA!$C:$C,"D"))</f>
        <v/>
      </c>
      <c r="AJ91" s="314" t="str">
        <f t="shared" si="13"/>
        <v/>
      </c>
      <c r="AK91" s="769" t="str">
        <f>IF($C91=0,"",SUMIFS(INPUT_DATA!BG:BG,INPUT_DATA!$A:$A,$C91,INPUT_DATA!$C:$C,"D"))</f>
        <v/>
      </c>
      <c r="AL91" s="769" t="str">
        <f>IF($C91=0,"",SUMIFS(INPUT_DATA!BH:BH,INPUT_DATA!$A:$A,$C91,INPUT_DATA!$C:$C,"D"))</f>
        <v/>
      </c>
      <c r="AM91" s="769" t="str">
        <f>IF($C91=0,"",SUMIFS(INPUT_DATA!BI:BI,INPUT_DATA!$A:$A,$C91,INPUT_DATA!$C:$C,"D"))</f>
        <v/>
      </c>
      <c r="AN91" s="767" t="str">
        <f t="shared" si="17"/>
        <v/>
      </c>
      <c r="AO91" s="772" t="str">
        <f>IF($C91=0,"",SUMIFS(INPUT_DATA!BK:BK,INPUT_DATA!$A:$A,$C91,INPUT_DATA!$C:$C,"D"))</f>
        <v/>
      </c>
      <c r="AP91" s="354" t="str">
        <f t="shared" si="18"/>
        <v/>
      </c>
      <c r="AQ91" s="149"/>
      <c r="AS91" s="354" t="str">
        <f t="shared" si="19"/>
        <v/>
      </c>
      <c r="AU91" s="378" t="str">
        <f>IF($C91=0,"",'03 - Monthly Asset Follow up'!E95+'03 - Monthly Asset Follow up'!F95-'03 - Monthly Asset Follow up'!U95+'03 - Monthly Asset Follow up'!X95-H91)</f>
        <v/>
      </c>
      <c r="AV91" s="378" t="str">
        <f>IF($C91=0,"",'03 - Monthly Asset Follow up'!BD95+'03 - Monthly Asset Follow up'!BE95-'03 - Monthly Asset Follow up'!BT95+'03 - Monthly Asset Follow up'!BW95-AA91)</f>
        <v/>
      </c>
      <c r="AX91" s="154"/>
    </row>
    <row r="92" spans="2:50" x14ac:dyDescent="0.2">
      <c r="B92" s="753" t="str">
        <f t="shared" si="14"/>
        <v/>
      </c>
      <c r="C92" s="756">
        <f>'03 - Monthly Asset Follow up'!B96</f>
        <v>0</v>
      </c>
      <c r="D92" s="149"/>
      <c r="E92" s="749" t="str">
        <f>IF($C92=0,"",SUMIFS(INPUT_DATA!AU:AU,INPUT_DATA!$A:$A,$C92,INPUT_DATA!$C:$C,"S"))</f>
        <v/>
      </c>
      <c r="F92" s="761" t="str">
        <f>IF($C92=0,"",SUMIFS(INPUT_DATA!AV:AV,INPUT_DATA!$A:$A,$C92,INPUT_DATA!$C:$C,"S"))</f>
        <v/>
      </c>
      <c r="G92" s="761" t="str">
        <f>IF($C92=0,"",SUMIFS(INPUT_DATA!AW:AW,INPUT_DATA!$A:$A,$C92,INPUT_DATA!$C:$C,"S"))</f>
        <v/>
      </c>
      <c r="H92" s="763" t="str">
        <f t="shared" si="10"/>
        <v/>
      </c>
      <c r="I92" s="761" t="str">
        <f>IF($C92=0,"",SUMIFS(INPUT_DATA!AY:AY,INPUT_DATA!$A:$A,$C92,INPUT_DATA!$C:$C,"S"))</f>
        <v/>
      </c>
      <c r="J92" s="761" t="str">
        <f>IF($C92=0,"",SUMIFS(INPUT_DATA!AZ:AZ,INPUT_DATA!$A:$A,$C92,INPUT_DATA!$C:$C,"S"))</f>
        <v/>
      </c>
      <c r="K92" s="761" t="str">
        <f>IF($C92=0,"",SUMIFS(INPUT_DATA!BA:BA,INPUT_DATA!$A:$A,$C92,INPUT_DATA!$C:$C,"S"))</f>
        <v/>
      </c>
      <c r="L92" s="761" t="str">
        <f>IF($C92=0,"",SUMIFS(INPUT_DATA!BB:BB,INPUT_DATA!$A:$A,$C92,INPUT_DATA!$C:$C,"S"))</f>
        <v/>
      </c>
      <c r="M92" s="761" t="str">
        <f>IF($C92=0,"",SUMIFS(INPUT_DATA!BC:BC,INPUT_DATA!$A:$A,$C92,INPUT_DATA!$C:$C,"S"))</f>
        <v/>
      </c>
      <c r="N92" s="761" t="str">
        <f>IF($C92=0,"",SUMIFS(INPUT_DATA!BD:BD,INPUT_DATA!$A:$A,$C92,INPUT_DATA!$C:$C,"S"))</f>
        <v/>
      </c>
      <c r="O92" s="761" t="str">
        <f>IF($C92=0,"",SUMIFS(INPUT_DATA!BE:BE,INPUT_DATA!$A:$A,$C92,INPUT_DATA!$C:$C,"S"))</f>
        <v/>
      </c>
      <c r="P92" s="761" t="str">
        <f>IF($C92=0,"",SUMIFS(INPUT_DATA!BF:BF,INPUT_DATA!$A:$A,$C92,INPUT_DATA!$C:$C,"S"))</f>
        <v/>
      </c>
      <c r="Q92" s="767" t="str">
        <f t="shared" si="15"/>
        <v/>
      </c>
      <c r="R92" s="769" t="str">
        <f>IF($C92=0,"",SUMIFS(INPUT_DATA!BH:BH,INPUT_DATA!$A:$A,$C92,INPUT_DATA!$C:$C,"S"))</f>
        <v/>
      </c>
      <c r="S92" s="769" t="str">
        <f>IF($C92=0,"",SUMIFS(INPUT_DATA!BI:BI,INPUT_DATA!$A:$A,$C92,INPUT_DATA!$C:$C,"S"))</f>
        <v/>
      </c>
      <c r="T92" s="767" t="str">
        <f t="shared" si="16"/>
        <v/>
      </c>
      <c r="U92" s="772" t="str">
        <f>IF($C92=0,"",SUMIFS(INPUT_DATA!BL:BL,INPUT_DATA!$A:$A,$C92,INPUT_DATA!$C:$C,"S"))</f>
        <v/>
      </c>
      <c r="V92" s="155" t="str">
        <f t="shared" si="11"/>
        <v/>
      </c>
      <c r="W92" s="149"/>
      <c r="X92" s="749" t="str">
        <f>IF($C92=0,"",SUMIFS(INPUT_DATA!AU:AU,INPUT_DATA!$A:$A,$C92,INPUT_DATA!$C:$C,"D"))</f>
        <v/>
      </c>
      <c r="Y92" s="761" t="str">
        <f>IF($C92=0,"",SUMIFS(INPUT_DATA!AV:AV,INPUT_DATA!$A:$A,$C92,INPUT_DATA!$C:$C,"D"))</f>
        <v/>
      </c>
      <c r="Z92" s="761" t="str">
        <f>IF($C92=0,"",SUMIFS(INPUT_DATA!AW:AW,INPUT_DATA!$A:$A,$C92,INPUT_DATA!$C:$C,"D"))</f>
        <v/>
      </c>
      <c r="AA92" s="762" t="str">
        <f t="shared" si="12"/>
        <v/>
      </c>
      <c r="AB92" s="761" t="str">
        <f>IF($C92=0,"",SUMIFS(INPUT_DATA!AX:AX,INPUT_DATA!$A:$A,$C92,INPUT_DATA!$C:$C,"D"))</f>
        <v/>
      </c>
      <c r="AC92" s="761" t="str">
        <f>IF($C92=0,"",SUMIFS(INPUT_DATA!AY:AY,INPUT_DATA!$A:$A,$C92,INPUT_DATA!$C:$C,"D"))</f>
        <v/>
      </c>
      <c r="AD92" s="761" t="str">
        <f>IF($C92=0,"",SUMIFS(INPUT_DATA!AZ:AZ,INPUT_DATA!$A:$A,$C92,INPUT_DATA!$C:$C,"D"))</f>
        <v/>
      </c>
      <c r="AE92" s="761" t="str">
        <f>IF($C92=0,"",SUMIFS(INPUT_DATA!BA:BA,INPUT_DATA!$A:$A,$C92,INPUT_DATA!$C:$C,"D"))</f>
        <v/>
      </c>
      <c r="AF92" s="761" t="str">
        <f>IF($C92=0,"",SUMIFS(INPUT_DATA!BB:BB,INPUT_DATA!$A:$A,$C92,INPUT_DATA!$C:$C,"D"))</f>
        <v/>
      </c>
      <c r="AG92" s="761" t="str">
        <f>IF($C92=0,"",SUMIFS(INPUT_DATA!BC:BC,INPUT_DATA!$A:$A,$C92,INPUT_DATA!$C:$C,"D"))</f>
        <v/>
      </c>
      <c r="AH92" s="761" t="str">
        <f>IF($C92=0,"",SUMIFS(INPUT_DATA!BD:BD,INPUT_DATA!$A:$A,$C92,INPUT_DATA!$C:$C,"D"))</f>
        <v/>
      </c>
      <c r="AI92" s="761" t="str">
        <f>IF($C92=0,"",SUMIFS(INPUT_DATA!BE:BE,INPUT_DATA!$A:$A,$C92,INPUT_DATA!$C:$C,"D"))</f>
        <v/>
      </c>
      <c r="AJ92" s="314" t="str">
        <f t="shared" si="13"/>
        <v/>
      </c>
      <c r="AK92" s="769" t="str">
        <f>IF($C92=0,"",SUMIFS(INPUT_DATA!BG:BG,INPUT_DATA!$A:$A,$C92,INPUT_DATA!$C:$C,"D"))</f>
        <v/>
      </c>
      <c r="AL92" s="769" t="str">
        <f>IF($C92=0,"",SUMIFS(INPUT_DATA!BH:BH,INPUT_DATA!$A:$A,$C92,INPUT_DATA!$C:$C,"D"))</f>
        <v/>
      </c>
      <c r="AM92" s="769" t="str">
        <f>IF($C92=0,"",SUMIFS(INPUT_DATA!BI:BI,INPUT_DATA!$A:$A,$C92,INPUT_DATA!$C:$C,"D"))</f>
        <v/>
      </c>
      <c r="AN92" s="767" t="str">
        <f t="shared" si="17"/>
        <v/>
      </c>
      <c r="AO92" s="772" t="str">
        <f>IF($C92=0,"",SUMIFS(INPUT_DATA!BK:BK,INPUT_DATA!$A:$A,$C92,INPUT_DATA!$C:$C,"D"))</f>
        <v/>
      </c>
      <c r="AP92" s="354" t="str">
        <f t="shared" si="18"/>
        <v/>
      </c>
      <c r="AQ92" s="149"/>
      <c r="AS92" s="354" t="str">
        <f t="shared" si="19"/>
        <v/>
      </c>
      <c r="AU92" s="378" t="str">
        <f>IF($C92=0,"",'03 - Monthly Asset Follow up'!E96+'03 - Monthly Asset Follow up'!F96-'03 - Monthly Asset Follow up'!U96+'03 - Monthly Asset Follow up'!X96-H92)</f>
        <v/>
      </c>
      <c r="AV92" s="378" t="str">
        <f>IF($C92=0,"",'03 - Monthly Asset Follow up'!BD96+'03 - Monthly Asset Follow up'!BE96-'03 - Monthly Asset Follow up'!BT96+'03 - Monthly Asset Follow up'!BW96-AA92)</f>
        <v/>
      </c>
      <c r="AX92" s="154"/>
    </row>
    <row r="93" spans="2:50" x14ac:dyDescent="0.2">
      <c r="B93" s="753" t="str">
        <f t="shared" si="14"/>
        <v/>
      </c>
      <c r="C93" s="756">
        <f>'03 - Monthly Asset Follow up'!B97</f>
        <v>0</v>
      </c>
      <c r="D93" s="149"/>
      <c r="E93" s="749" t="str">
        <f>IF($C93=0,"",SUMIFS(INPUT_DATA!AU:AU,INPUT_DATA!$A:$A,$C93,INPUT_DATA!$C:$C,"S"))</f>
        <v/>
      </c>
      <c r="F93" s="761" t="str">
        <f>IF($C93=0,"",SUMIFS(INPUT_DATA!AV:AV,INPUT_DATA!$A:$A,$C93,INPUT_DATA!$C:$C,"S"))</f>
        <v/>
      </c>
      <c r="G93" s="761" t="str">
        <f>IF($C93=0,"",SUMIFS(INPUT_DATA!AW:AW,INPUT_DATA!$A:$A,$C93,INPUT_DATA!$C:$C,"S"))</f>
        <v/>
      </c>
      <c r="H93" s="763" t="str">
        <f t="shared" si="10"/>
        <v/>
      </c>
      <c r="I93" s="761" t="str">
        <f>IF($C93=0,"",SUMIFS(INPUT_DATA!AY:AY,INPUT_DATA!$A:$A,$C93,INPUT_DATA!$C:$C,"S"))</f>
        <v/>
      </c>
      <c r="J93" s="761" t="str">
        <f>IF($C93=0,"",SUMIFS(INPUT_DATA!AZ:AZ,INPUT_DATA!$A:$A,$C93,INPUT_DATA!$C:$C,"S"))</f>
        <v/>
      </c>
      <c r="K93" s="761" t="str">
        <f>IF($C93=0,"",SUMIFS(INPUT_DATA!BA:BA,INPUT_DATA!$A:$A,$C93,INPUT_DATA!$C:$C,"S"))</f>
        <v/>
      </c>
      <c r="L93" s="761" t="str">
        <f>IF($C93=0,"",SUMIFS(INPUT_DATA!BB:BB,INPUT_DATA!$A:$A,$C93,INPUT_DATA!$C:$C,"S"))</f>
        <v/>
      </c>
      <c r="M93" s="761" t="str">
        <f>IF($C93=0,"",SUMIFS(INPUT_DATA!BC:BC,INPUT_DATA!$A:$A,$C93,INPUT_DATA!$C:$C,"S"))</f>
        <v/>
      </c>
      <c r="N93" s="761" t="str">
        <f>IF($C93=0,"",SUMIFS(INPUT_DATA!BD:BD,INPUT_DATA!$A:$A,$C93,INPUT_DATA!$C:$C,"S"))</f>
        <v/>
      </c>
      <c r="O93" s="761" t="str">
        <f>IF($C93=0,"",SUMIFS(INPUT_DATA!BE:BE,INPUT_DATA!$A:$A,$C93,INPUT_DATA!$C:$C,"S"))</f>
        <v/>
      </c>
      <c r="P93" s="761" t="str">
        <f>IF($C93=0,"",SUMIFS(INPUT_DATA!BF:BF,INPUT_DATA!$A:$A,$C93,INPUT_DATA!$C:$C,"S"))</f>
        <v/>
      </c>
      <c r="Q93" s="767" t="str">
        <f t="shared" si="15"/>
        <v/>
      </c>
      <c r="R93" s="769" t="str">
        <f>IF($C93=0,"",SUMIFS(INPUT_DATA!BH:BH,INPUT_DATA!$A:$A,$C93,INPUT_DATA!$C:$C,"S"))</f>
        <v/>
      </c>
      <c r="S93" s="769" t="str">
        <f>IF($C93=0,"",SUMIFS(INPUT_DATA!BI:BI,INPUT_DATA!$A:$A,$C93,INPUT_DATA!$C:$C,"S"))</f>
        <v/>
      </c>
      <c r="T93" s="767" t="str">
        <f t="shared" si="16"/>
        <v/>
      </c>
      <c r="U93" s="772" t="str">
        <f>IF($C93=0,"",SUMIFS(INPUT_DATA!BL:BL,INPUT_DATA!$A:$A,$C93,INPUT_DATA!$C:$C,"S"))</f>
        <v/>
      </c>
      <c r="V93" s="155" t="str">
        <f t="shared" si="11"/>
        <v/>
      </c>
      <c r="W93" s="149"/>
      <c r="X93" s="749" t="str">
        <f>IF($C93=0,"",SUMIFS(INPUT_DATA!AU:AU,INPUT_DATA!$A:$A,$C93,INPUT_DATA!$C:$C,"D"))</f>
        <v/>
      </c>
      <c r="Y93" s="761" t="str">
        <f>IF($C93=0,"",SUMIFS(INPUT_DATA!AV:AV,INPUT_DATA!$A:$A,$C93,INPUT_DATA!$C:$C,"D"))</f>
        <v/>
      </c>
      <c r="Z93" s="761" t="str">
        <f>IF($C93=0,"",SUMIFS(INPUT_DATA!AW:AW,INPUT_DATA!$A:$A,$C93,INPUT_DATA!$C:$C,"D"))</f>
        <v/>
      </c>
      <c r="AA93" s="762" t="str">
        <f t="shared" si="12"/>
        <v/>
      </c>
      <c r="AB93" s="761" t="str">
        <f>IF($C93=0,"",SUMIFS(INPUT_DATA!AX:AX,INPUT_DATA!$A:$A,$C93,INPUT_DATA!$C:$C,"D"))</f>
        <v/>
      </c>
      <c r="AC93" s="761" t="str">
        <f>IF($C93=0,"",SUMIFS(INPUT_DATA!AY:AY,INPUT_DATA!$A:$A,$C93,INPUT_DATA!$C:$C,"D"))</f>
        <v/>
      </c>
      <c r="AD93" s="761" t="str">
        <f>IF($C93=0,"",SUMIFS(INPUT_DATA!AZ:AZ,INPUT_DATA!$A:$A,$C93,INPUT_DATA!$C:$C,"D"))</f>
        <v/>
      </c>
      <c r="AE93" s="761" t="str">
        <f>IF($C93=0,"",SUMIFS(INPUT_DATA!BA:BA,INPUT_DATA!$A:$A,$C93,INPUT_DATA!$C:$C,"D"))</f>
        <v/>
      </c>
      <c r="AF93" s="761" t="str">
        <f>IF($C93=0,"",SUMIFS(INPUT_DATA!BB:BB,INPUT_DATA!$A:$A,$C93,INPUT_DATA!$C:$C,"D"))</f>
        <v/>
      </c>
      <c r="AG93" s="761" t="str">
        <f>IF($C93=0,"",SUMIFS(INPUT_DATA!BC:BC,INPUT_DATA!$A:$A,$C93,INPUT_DATA!$C:$C,"D"))</f>
        <v/>
      </c>
      <c r="AH93" s="761" t="str">
        <f>IF($C93=0,"",SUMIFS(INPUT_DATA!BD:BD,INPUT_DATA!$A:$A,$C93,INPUT_DATA!$C:$C,"D"))</f>
        <v/>
      </c>
      <c r="AI93" s="761" t="str">
        <f>IF($C93=0,"",SUMIFS(INPUT_DATA!BE:BE,INPUT_DATA!$A:$A,$C93,INPUT_DATA!$C:$C,"D"))</f>
        <v/>
      </c>
      <c r="AJ93" s="314" t="str">
        <f t="shared" si="13"/>
        <v/>
      </c>
      <c r="AK93" s="769" t="str">
        <f>IF($C93=0,"",SUMIFS(INPUT_DATA!BG:BG,INPUT_DATA!$A:$A,$C93,INPUT_DATA!$C:$C,"D"))</f>
        <v/>
      </c>
      <c r="AL93" s="769" t="str">
        <f>IF($C93=0,"",SUMIFS(INPUT_DATA!BH:BH,INPUT_DATA!$A:$A,$C93,INPUT_DATA!$C:$C,"D"))</f>
        <v/>
      </c>
      <c r="AM93" s="769" t="str">
        <f>IF($C93=0,"",SUMIFS(INPUT_DATA!BI:BI,INPUT_DATA!$A:$A,$C93,INPUT_DATA!$C:$C,"D"))</f>
        <v/>
      </c>
      <c r="AN93" s="767" t="str">
        <f t="shared" si="17"/>
        <v/>
      </c>
      <c r="AO93" s="772" t="str">
        <f>IF($C93=0,"",SUMIFS(INPUT_DATA!BK:BK,INPUT_DATA!$A:$A,$C93,INPUT_DATA!$C:$C,"D"))</f>
        <v/>
      </c>
      <c r="AP93" s="354" t="str">
        <f t="shared" si="18"/>
        <v/>
      </c>
      <c r="AQ93" s="149"/>
      <c r="AS93" s="354" t="str">
        <f t="shared" si="19"/>
        <v/>
      </c>
      <c r="AU93" s="378" t="str">
        <f>IF($C93=0,"",'03 - Monthly Asset Follow up'!E97+'03 - Monthly Asset Follow up'!F97-'03 - Monthly Asset Follow up'!U97+'03 - Monthly Asset Follow up'!X97-H93)</f>
        <v/>
      </c>
      <c r="AV93" s="378" t="str">
        <f>IF($C93=0,"",'03 - Monthly Asset Follow up'!BD97+'03 - Monthly Asset Follow up'!BE97-'03 - Monthly Asset Follow up'!BT97+'03 - Monthly Asset Follow up'!BW97-AA93)</f>
        <v/>
      </c>
      <c r="AX93" s="154"/>
    </row>
    <row r="94" spans="2:50" x14ac:dyDescent="0.2">
      <c r="B94" s="753" t="str">
        <f t="shared" si="14"/>
        <v/>
      </c>
      <c r="C94" s="756">
        <f>'03 - Monthly Asset Follow up'!B98</f>
        <v>0</v>
      </c>
      <c r="D94" s="149"/>
      <c r="E94" s="749" t="str">
        <f>IF($C94=0,"",SUMIFS(INPUT_DATA!AU:AU,INPUT_DATA!$A:$A,$C94,INPUT_DATA!$C:$C,"S"))</f>
        <v/>
      </c>
      <c r="F94" s="761" t="str">
        <f>IF($C94=0,"",SUMIFS(INPUT_DATA!AV:AV,INPUT_DATA!$A:$A,$C94,INPUT_DATA!$C:$C,"S"))</f>
        <v/>
      </c>
      <c r="G94" s="761" t="str">
        <f>IF($C94=0,"",SUMIFS(INPUT_DATA!AW:AW,INPUT_DATA!$A:$A,$C94,INPUT_DATA!$C:$C,"S"))</f>
        <v/>
      </c>
      <c r="H94" s="763" t="str">
        <f t="shared" si="10"/>
        <v/>
      </c>
      <c r="I94" s="761" t="str">
        <f>IF($C94=0,"",SUMIFS(INPUT_DATA!AY:AY,INPUT_DATA!$A:$A,$C94,INPUT_DATA!$C:$C,"S"))</f>
        <v/>
      </c>
      <c r="J94" s="761" t="str">
        <f>IF($C94=0,"",SUMIFS(INPUT_DATA!AZ:AZ,INPUT_DATA!$A:$A,$C94,INPUT_DATA!$C:$C,"S"))</f>
        <v/>
      </c>
      <c r="K94" s="761" t="str">
        <f>IF($C94=0,"",SUMIFS(INPUT_DATA!BA:BA,INPUT_DATA!$A:$A,$C94,INPUT_DATA!$C:$C,"S"))</f>
        <v/>
      </c>
      <c r="L94" s="761" t="str">
        <f>IF($C94=0,"",SUMIFS(INPUT_DATA!BB:BB,INPUT_DATA!$A:$A,$C94,INPUT_DATA!$C:$C,"S"))</f>
        <v/>
      </c>
      <c r="M94" s="761" t="str">
        <f>IF($C94=0,"",SUMIFS(INPUT_DATA!BC:BC,INPUT_DATA!$A:$A,$C94,INPUT_DATA!$C:$C,"S"))</f>
        <v/>
      </c>
      <c r="N94" s="761" t="str">
        <f>IF($C94=0,"",SUMIFS(INPUT_DATA!BD:BD,INPUT_DATA!$A:$A,$C94,INPUT_DATA!$C:$C,"S"))</f>
        <v/>
      </c>
      <c r="O94" s="761" t="str">
        <f>IF($C94=0,"",SUMIFS(INPUT_DATA!BE:BE,INPUT_DATA!$A:$A,$C94,INPUT_DATA!$C:$C,"S"))</f>
        <v/>
      </c>
      <c r="P94" s="761" t="str">
        <f>IF($C94=0,"",SUMIFS(INPUT_DATA!BF:BF,INPUT_DATA!$A:$A,$C94,INPUT_DATA!$C:$C,"S"))</f>
        <v/>
      </c>
      <c r="Q94" s="767" t="str">
        <f t="shared" si="15"/>
        <v/>
      </c>
      <c r="R94" s="769" t="str">
        <f>IF($C94=0,"",SUMIFS(INPUT_DATA!BH:BH,INPUT_DATA!$A:$A,$C94,INPUT_DATA!$C:$C,"S"))</f>
        <v/>
      </c>
      <c r="S94" s="769" t="str">
        <f>IF($C94=0,"",SUMIFS(INPUT_DATA!BI:BI,INPUT_DATA!$A:$A,$C94,INPUT_DATA!$C:$C,"S"))</f>
        <v/>
      </c>
      <c r="T94" s="767" t="str">
        <f t="shared" si="16"/>
        <v/>
      </c>
      <c r="U94" s="772" t="str">
        <f>IF($C94=0,"",SUMIFS(INPUT_DATA!BL:BL,INPUT_DATA!$A:$A,$C94,INPUT_DATA!$C:$C,"S"))</f>
        <v/>
      </c>
      <c r="V94" s="155" t="str">
        <f t="shared" si="11"/>
        <v/>
      </c>
      <c r="W94" s="149"/>
      <c r="X94" s="749" t="str">
        <f>IF($C94=0,"",SUMIFS(INPUT_DATA!AU:AU,INPUT_DATA!$A:$A,$C94,INPUT_DATA!$C:$C,"D"))</f>
        <v/>
      </c>
      <c r="Y94" s="761" t="str">
        <f>IF($C94=0,"",SUMIFS(INPUT_DATA!AV:AV,INPUT_DATA!$A:$A,$C94,INPUT_DATA!$C:$C,"D"))</f>
        <v/>
      </c>
      <c r="Z94" s="761" t="str">
        <f>IF($C94=0,"",SUMIFS(INPUT_DATA!AW:AW,INPUT_DATA!$A:$A,$C94,INPUT_DATA!$C:$C,"D"))</f>
        <v/>
      </c>
      <c r="AA94" s="762" t="str">
        <f t="shared" si="12"/>
        <v/>
      </c>
      <c r="AB94" s="761" t="str">
        <f>IF($C94=0,"",SUMIFS(INPUT_DATA!AX:AX,INPUT_DATA!$A:$A,$C94,INPUT_DATA!$C:$C,"D"))</f>
        <v/>
      </c>
      <c r="AC94" s="761" t="str">
        <f>IF($C94=0,"",SUMIFS(INPUT_DATA!AY:AY,INPUT_DATA!$A:$A,$C94,INPUT_DATA!$C:$C,"D"))</f>
        <v/>
      </c>
      <c r="AD94" s="761" t="str">
        <f>IF($C94=0,"",SUMIFS(INPUT_DATA!AZ:AZ,INPUT_DATA!$A:$A,$C94,INPUT_DATA!$C:$C,"D"))</f>
        <v/>
      </c>
      <c r="AE94" s="761" t="str">
        <f>IF($C94=0,"",SUMIFS(INPUT_DATA!BA:BA,INPUT_DATA!$A:$A,$C94,INPUT_DATA!$C:$C,"D"))</f>
        <v/>
      </c>
      <c r="AF94" s="761" t="str">
        <f>IF($C94=0,"",SUMIFS(INPUT_DATA!BB:BB,INPUT_DATA!$A:$A,$C94,INPUT_DATA!$C:$C,"D"))</f>
        <v/>
      </c>
      <c r="AG94" s="761" t="str">
        <f>IF($C94=0,"",SUMIFS(INPUT_DATA!BC:BC,INPUT_DATA!$A:$A,$C94,INPUT_DATA!$C:$C,"D"))</f>
        <v/>
      </c>
      <c r="AH94" s="761" t="str">
        <f>IF($C94=0,"",SUMIFS(INPUT_DATA!BD:BD,INPUT_DATA!$A:$A,$C94,INPUT_DATA!$C:$C,"D"))</f>
        <v/>
      </c>
      <c r="AI94" s="761" t="str">
        <f>IF($C94=0,"",SUMIFS(INPUT_DATA!BE:BE,INPUT_DATA!$A:$A,$C94,INPUT_DATA!$C:$C,"D"))</f>
        <v/>
      </c>
      <c r="AJ94" s="314" t="str">
        <f t="shared" si="13"/>
        <v/>
      </c>
      <c r="AK94" s="769" t="str">
        <f>IF($C94=0,"",SUMIFS(INPUT_DATA!BG:BG,INPUT_DATA!$A:$A,$C94,INPUT_DATA!$C:$C,"D"))</f>
        <v/>
      </c>
      <c r="AL94" s="769" t="str">
        <f>IF($C94=0,"",SUMIFS(INPUT_DATA!BH:BH,INPUT_DATA!$A:$A,$C94,INPUT_DATA!$C:$C,"D"))</f>
        <v/>
      </c>
      <c r="AM94" s="769" t="str">
        <f>IF($C94=0,"",SUMIFS(INPUT_DATA!BI:BI,INPUT_DATA!$A:$A,$C94,INPUT_DATA!$C:$C,"D"))</f>
        <v/>
      </c>
      <c r="AN94" s="767" t="str">
        <f t="shared" si="17"/>
        <v/>
      </c>
      <c r="AO94" s="772" t="str">
        <f>IF($C94=0,"",SUMIFS(INPUT_DATA!BK:BK,INPUT_DATA!$A:$A,$C94,INPUT_DATA!$C:$C,"D"))</f>
        <v/>
      </c>
      <c r="AP94" s="354" t="str">
        <f t="shared" si="18"/>
        <v/>
      </c>
      <c r="AQ94" s="149"/>
      <c r="AS94" s="354" t="str">
        <f t="shared" si="19"/>
        <v/>
      </c>
      <c r="AU94" s="378" t="str">
        <f>IF($C94=0,"",'03 - Monthly Asset Follow up'!E98+'03 - Monthly Asset Follow up'!F98-'03 - Monthly Asset Follow up'!U98+'03 - Monthly Asset Follow up'!X98-H94)</f>
        <v/>
      </c>
      <c r="AV94" s="378" t="str">
        <f>IF($C94=0,"",'03 - Monthly Asset Follow up'!BD98+'03 - Monthly Asset Follow up'!BE98-'03 - Monthly Asset Follow up'!BT98+'03 - Monthly Asset Follow up'!BW98-AA94)</f>
        <v/>
      </c>
      <c r="AX94" s="154"/>
    </row>
    <row r="95" spans="2:50" x14ac:dyDescent="0.2">
      <c r="B95" s="753" t="str">
        <f t="shared" si="14"/>
        <v/>
      </c>
      <c r="C95" s="756">
        <f>'03 - Monthly Asset Follow up'!B99</f>
        <v>0</v>
      </c>
      <c r="D95" s="149"/>
      <c r="E95" s="749" t="str">
        <f>IF($C95=0,"",SUMIFS(INPUT_DATA!AU:AU,INPUT_DATA!$A:$A,$C95,INPUT_DATA!$C:$C,"S"))</f>
        <v/>
      </c>
      <c r="F95" s="761" t="str">
        <f>IF($C95=0,"",SUMIFS(INPUT_DATA!AV:AV,INPUT_DATA!$A:$A,$C95,INPUT_DATA!$C:$C,"S"))</f>
        <v/>
      </c>
      <c r="G95" s="761" t="str">
        <f>IF($C95=0,"",SUMIFS(INPUT_DATA!AW:AW,INPUT_DATA!$A:$A,$C95,INPUT_DATA!$C:$C,"S"))</f>
        <v/>
      </c>
      <c r="H95" s="763" t="str">
        <f t="shared" si="10"/>
        <v/>
      </c>
      <c r="I95" s="761" t="str">
        <f>IF($C95=0,"",SUMIFS(INPUT_DATA!AY:AY,INPUT_DATA!$A:$A,$C95,INPUT_DATA!$C:$C,"S"))</f>
        <v/>
      </c>
      <c r="J95" s="761" t="str">
        <f>IF($C95=0,"",SUMIFS(INPUT_DATA!AZ:AZ,INPUT_DATA!$A:$A,$C95,INPUT_DATA!$C:$C,"S"))</f>
        <v/>
      </c>
      <c r="K95" s="761" t="str">
        <f>IF($C95=0,"",SUMIFS(INPUT_DATA!BA:BA,INPUT_DATA!$A:$A,$C95,INPUT_DATA!$C:$C,"S"))</f>
        <v/>
      </c>
      <c r="L95" s="761" t="str">
        <f>IF($C95=0,"",SUMIFS(INPUT_DATA!BB:BB,INPUT_DATA!$A:$A,$C95,INPUT_DATA!$C:$C,"S"))</f>
        <v/>
      </c>
      <c r="M95" s="761" t="str">
        <f>IF($C95=0,"",SUMIFS(INPUT_DATA!BC:BC,INPUT_DATA!$A:$A,$C95,INPUT_DATA!$C:$C,"S"))</f>
        <v/>
      </c>
      <c r="N95" s="761" t="str">
        <f>IF($C95=0,"",SUMIFS(INPUT_DATA!BD:BD,INPUT_DATA!$A:$A,$C95,INPUT_DATA!$C:$C,"S"))</f>
        <v/>
      </c>
      <c r="O95" s="761" t="str">
        <f>IF($C95=0,"",SUMIFS(INPUT_DATA!BE:BE,INPUT_DATA!$A:$A,$C95,INPUT_DATA!$C:$C,"S"))</f>
        <v/>
      </c>
      <c r="P95" s="761" t="str">
        <f>IF($C95=0,"",SUMIFS(INPUT_DATA!BF:BF,INPUT_DATA!$A:$A,$C95,INPUT_DATA!$C:$C,"S"))</f>
        <v/>
      </c>
      <c r="Q95" s="767" t="str">
        <f t="shared" si="15"/>
        <v/>
      </c>
      <c r="R95" s="769" t="str">
        <f>IF($C95=0,"",SUMIFS(INPUT_DATA!BH:BH,INPUT_DATA!$A:$A,$C95,INPUT_DATA!$C:$C,"S"))</f>
        <v/>
      </c>
      <c r="S95" s="769" t="str">
        <f>IF($C95=0,"",SUMIFS(INPUT_DATA!BI:BI,INPUT_DATA!$A:$A,$C95,INPUT_DATA!$C:$C,"S"))</f>
        <v/>
      </c>
      <c r="T95" s="767" t="str">
        <f t="shared" si="16"/>
        <v/>
      </c>
      <c r="U95" s="772" t="str">
        <f>IF($C95=0,"",SUMIFS(INPUT_DATA!BL:BL,INPUT_DATA!$A:$A,$C95,INPUT_DATA!$C:$C,"S"))</f>
        <v/>
      </c>
      <c r="V95" s="155" t="str">
        <f t="shared" si="11"/>
        <v/>
      </c>
      <c r="W95" s="149"/>
      <c r="X95" s="749" t="str">
        <f>IF($C95=0,"",SUMIFS(INPUT_DATA!AU:AU,INPUT_DATA!$A:$A,$C95,INPUT_DATA!$C:$C,"D"))</f>
        <v/>
      </c>
      <c r="Y95" s="761" t="str">
        <f>IF($C95=0,"",SUMIFS(INPUT_DATA!AV:AV,INPUT_DATA!$A:$A,$C95,INPUT_DATA!$C:$C,"D"))</f>
        <v/>
      </c>
      <c r="Z95" s="761" t="str">
        <f>IF($C95=0,"",SUMIFS(INPUT_DATA!AW:AW,INPUT_DATA!$A:$A,$C95,INPUT_DATA!$C:$C,"D"))</f>
        <v/>
      </c>
      <c r="AA95" s="762" t="str">
        <f t="shared" si="12"/>
        <v/>
      </c>
      <c r="AB95" s="761" t="str">
        <f>IF($C95=0,"",SUMIFS(INPUT_DATA!AX:AX,INPUT_DATA!$A:$A,$C95,INPUT_DATA!$C:$C,"D"))</f>
        <v/>
      </c>
      <c r="AC95" s="761" t="str">
        <f>IF($C95=0,"",SUMIFS(INPUT_DATA!AY:AY,INPUT_DATA!$A:$A,$C95,INPUT_DATA!$C:$C,"D"))</f>
        <v/>
      </c>
      <c r="AD95" s="761" t="str">
        <f>IF($C95=0,"",SUMIFS(INPUT_DATA!AZ:AZ,INPUT_DATA!$A:$A,$C95,INPUT_DATA!$C:$C,"D"))</f>
        <v/>
      </c>
      <c r="AE95" s="761" t="str">
        <f>IF($C95=0,"",SUMIFS(INPUT_DATA!BA:BA,INPUT_DATA!$A:$A,$C95,INPUT_DATA!$C:$C,"D"))</f>
        <v/>
      </c>
      <c r="AF95" s="761" t="str">
        <f>IF($C95=0,"",SUMIFS(INPUT_DATA!BB:BB,INPUT_DATA!$A:$A,$C95,INPUT_DATA!$C:$C,"D"))</f>
        <v/>
      </c>
      <c r="AG95" s="761" t="str">
        <f>IF($C95=0,"",SUMIFS(INPUT_DATA!BC:BC,INPUT_DATA!$A:$A,$C95,INPUT_DATA!$C:$C,"D"))</f>
        <v/>
      </c>
      <c r="AH95" s="761" t="str">
        <f>IF($C95=0,"",SUMIFS(INPUT_DATA!BD:BD,INPUT_DATA!$A:$A,$C95,INPUT_DATA!$C:$C,"D"))</f>
        <v/>
      </c>
      <c r="AI95" s="761" t="str">
        <f>IF($C95=0,"",SUMIFS(INPUT_DATA!BE:BE,INPUT_DATA!$A:$A,$C95,INPUT_DATA!$C:$C,"D"))</f>
        <v/>
      </c>
      <c r="AJ95" s="314" t="str">
        <f t="shared" si="13"/>
        <v/>
      </c>
      <c r="AK95" s="769" t="str">
        <f>IF($C95=0,"",SUMIFS(INPUT_DATA!BG:BG,INPUT_DATA!$A:$A,$C95,INPUT_DATA!$C:$C,"D"))</f>
        <v/>
      </c>
      <c r="AL95" s="769" t="str">
        <f>IF($C95=0,"",SUMIFS(INPUT_DATA!BH:BH,INPUT_DATA!$A:$A,$C95,INPUT_DATA!$C:$C,"D"))</f>
        <v/>
      </c>
      <c r="AM95" s="769" t="str">
        <f>IF($C95=0,"",SUMIFS(INPUT_DATA!BI:BI,INPUT_DATA!$A:$A,$C95,INPUT_DATA!$C:$C,"D"))</f>
        <v/>
      </c>
      <c r="AN95" s="767" t="str">
        <f t="shared" si="17"/>
        <v/>
      </c>
      <c r="AO95" s="772" t="str">
        <f>IF($C95=0,"",SUMIFS(INPUT_DATA!BK:BK,INPUT_DATA!$A:$A,$C95,INPUT_DATA!$C:$C,"D"))</f>
        <v/>
      </c>
      <c r="AP95" s="354" t="str">
        <f t="shared" si="18"/>
        <v/>
      </c>
      <c r="AQ95" s="149"/>
      <c r="AS95" s="354" t="str">
        <f t="shared" si="19"/>
        <v/>
      </c>
      <c r="AU95" s="378" t="str">
        <f>IF($C95=0,"",'03 - Monthly Asset Follow up'!E99+'03 - Monthly Asset Follow up'!F99-'03 - Monthly Asset Follow up'!U99+'03 - Monthly Asset Follow up'!X99-H95)</f>
        <v/>
      </c>
      <c r="AV95" s="378" t="str">
        <f>IF($C95=0,"",'03 - Monthly Asset Follow up'!BD99+'03 - Monthly Asset Follow up'!BE99-'03 - Monthly Asset Follow up'!BT99+'03 - Monthly Asset Follow up'!BW99-AA95)</f>
        <v/>
      </c>
      <c r="AX95" s="154"/>
    </row>
    <row r="96" spans="2:50" x14ac:dyDescent="0.2">
      <c r="B96" s="753" t="str">
        <f t="shared" si="14"/>
        <v/>
      </c>
      <c r="C96" s="756">
        <f>'03 - Monthly Asset Follow up'!B100</f>
        <v>0</v>
      </c>
      <c r="D96" s="149"/>
      <c r="E96" s="749" t="str">
        <f>IF($C96=0,"",SUMIFS(INPUT_DATA!AU:AU,INPUT_DATA!$A:$A,$C96,INPUT_DATA!$C:$C,"S"))</f>
        <v/>
      </c>
      <c r="F96" s="761" t="str">
        <f>IF($C96=0,"",SUMIFS(INPUT_DATA!AV:AV,INPUT_DATA!$A:$A,$C96,INPUT_DATA!$C:$C,"S"))</f>
        <v/>
      </c>
      <c r="G96" s="761" t="str">
        <f>IF($C96=0,"",SUMIFS(INPUT_DATA!AW:AW,INPUT_DATA!$A:$A,$C96,INPUT_DATA!$C:$C,"S"))</f>
        <v/>
      </c>
      <c r="H96" s="763" t="str">
        <f t="shared" si="10"/>
        <v/>
      </c>
      <c r="I96" s="761" t="str">
        <f>IF($C96=0,"",SUMIFS(INPUT_DATA!AY:AY,INPUT_DATA!$A:$A,$C96,INPUT_DATA!$C:$C,"S"))</f>
        <v/>
      </c>
      <c r="J96" s="761" t="str">
        <f>IF($C96=0,"",SUMIFS(INPUT_DATA!AZ:AZ,INPUT_DATA!$A:$A,$C96,INPUT_DATA!$C:$C,"S"))</f>
        <v/>
      </c>
      <c r="K96" s="761" t="str">
        <f>IF($C96=0,"",SUMIFS(INPUT_DATA!BA:BA,INPUT_DATA!$A:$A,$C96,INPUT_DATA!$C:$C,"S"))</f>
        <v/>
      </c>
      <c r="L96" s="761" t="str">
        <f>IF($C96=0,"",SUMIFS(INPUT_DATA!BB:BB,INPUT_DATA!$A:$A,$C96,INPUT_DATA!$C:$C,"S"))</f>
        <v/>
      </c>
      <c r="M96" s="761" t="str">
        <f>IF($C96=0,"",SUMIFS(INPUT_DATA!BC:BC,INPUT_DATA!$A:$A,$C96,INPUT_DATA!$C:$C,"S"))</f>
        <v/>
      </c>
      <c r="N96" s="761" t="str">
        <f>IF($C96=0,"",SUMIFS(INPUT_DATA!BD:BD,INPUT_DATA!$A:$A,$C96,INPUT_DATA!$C:$C,"S"))</f>
        <v/>
      </c>
      <c r="O96" s="761" t="str">
        <f>IF($C96=0,"",SUMIFS(INPUT_DATA!BE:BE,INPUT_DATA!$A:$A,$C96,INPUT_DATA!$C:$C,"S"))</f>
        <v/>
      </c>
      <c r="P96" s="761" t="str">
        <f>IF($C96=0,"",SUMIFS(INPUT_DATA!BF:BF,INPUT_DATA!$A:$A,$C96,INPUT_DATA!$C:$C,"S"))</f>
        <v/>
      </c>
      <c r="Q96" s="767" t="str">
        <f t="shared" si="15"/>
        <v/>
      </c>
      <c r="R96" s="769" t="str">
        <f>IF($C96=0,"",SUMIFS(INPUT_DATA!BH:BH,INPUT_DATA!$A:$A,$C96,INPUT_DATA!$C:$C,"S"))</f>
        <v/>
      </c>
      <c r="S96" s="769" t="str">
        <f>IF($C96=0,"",SUMIFS(INPUT_DATA!BI:BI,INPUT_DATA!$A:$A,$C96,INPUT_DATA!$C:$C,"S"))</f>
        <v/>
      </c>
      <c r="T96" s="767" t="str">
        <f t="shared" si="16"/>
        <v/>
      </c>
      <c r="U96" s="772" t="str">
        <f>IF($C96=0,"",SUMIFS(INPUT_DATA!BL:BL,INPUT_DATA!$A:$A,$C96,INPUT_DATA!$C:$C,"S"))</f>
        <v/>
      </c>
      <c r="V96" s="155" t="str">
        <f t="shared" si="11"/>
        <v/>
      </c>
      <c r="W96" s="149"/>
      <c r="X96" s="749" t="str">
        <f>IF($C96=0,"",SUMIFS(INPUT_DATA!AU:AU,INPUT_DATA!$A:$A,$C96,INPUT_DATA!$C:$C,"D"))</f>
        <v/>
      </c>
      <c r="Y96" s="761" t="str">
        <f>IF($C96=0,"",SUMIFS(INPUT_DATA!AV:AV,INPUT_DATA!$A:$A,$C96,INPUT_DATA!$C:$C,"D"))</f>
        <v/>
      </c>
      <c r="Z96" s="761" t="str">
        <f>IF($C96=0,"",SUMIFS(INPUT_DATA!AW:AW,INPUT_DATA!$A:$A,$C96,INPUT_DATA!$C:$C,"D"))</f>
        <v/>
      </c>
      <c r="AA96" s="762" t="str">
        <f t="shared" si="12"/>
        <v/>
      </c>
      <c r="AB96" s="761" t="str">
        <f>IF($C96=0,"",SUMIFS(INPUT_DATA!AX:AX,INPUT_DATA!$A:$A,$C96,INPUT_DATA!$C:$C,"D"))</f>
        <v/>
      </c>
      <c r="AC96" s="761" t="str">
        <f>IF($C96=0,"",SUMIFS(INPUT_DATA!AY:AY,INPUT_DATA!$A:$A,$C96,INPUT_DATA!$C:$C,"D"))</f>
        <v/>
      </c>
      <c r="AD96" s="761" t="str">
        <f>IF($C96=0,"",SUMIFS(INPUT_DATA!AZ:AZ,INPUT_DATA!$A:$A,$C96,INPUT_DATA!$C:$C,"D"))</f>
        <v/>
      </c>
      <c r="AE96" s="761" t="str">
        <f>IF($C96=0,"",SUMIFS(INPUT_DATA!BA:BA,INPUT_DATA!$A:$A,$C96,INPUT_DATA!$C:$C,"D"))</f>
        <v/>
      </c>
      <c r="AF96" s="761" t="str">
        <f>IF($C96=0,"",SUMIFS(INPUT_DATA!BB:BB,INPUT_DATA!$A:$A,$C96,INPUT_DATA!$C:$C,"D"))</f>
        <v/>
      </c>
      <c r="AG96" s="761" t="str">
        <f>IF($C96=0,"",SUMIFS(INPUT_DATA!BC:BC,INPUT_DATA!$A:$A,$C96,INPUT_DATA!$C:$C,"D"))</f>
        <v/>
      </c>
      <c r="AH96" s="761" t="str">
        <f>IF($C96=0,"",SUMIFS(INPUT_DATA!BD:BD,INPUT_DATA!$A:$A,$C96,INPUT_DATA!$C:$C,"D"))</f>
        <v/>
      </c>
      <c r="AI96" s="761" t="str">
        <f>IF($C96=0,"",SUMIFS(INPUT_DATA!BE:BE,INPUT_DATA!$A:$A,$C96,INPUT_DATA!$C:$C,"D"))</f>
        <v/>
      </c>
      <c r="AJ96" s="314" t="str">
        <f t="shared" si="13"/>
        <v/>
      </c>
      <c r="AK96" s="769" t="str">
        <f>IF($C96=0,"",SUMIFS(INPUT_DATA!BG:BG,INPUT_DATA!$A:$A,$C96,INPUT_DATA!$C:$C,"D"))</f>
        <v/>
      </c>
      <c r="AL96" s="769" t="str">
        <f>IF($C96=0,"",SUMIFS(INPUT_DATA!BH:BH,INPUT_DATA!$A:$A,$C96,INPUT_DATA!$C:$C,"D"))</f>
        <v/>
      </c>
      <c r="AM96" s="769" t="str">
        <f>IF($C96=0,"",SUMIFS(INPUT_DATA!BI:BI,INPUT_DATA!$A:$A,$C96,INPUT_DATA!$C:$C,"D"))</f>
        <v/>
      </c>
      <c r="AN96" s="767" t="str">
        <f t="shared" si="17"/>
        <v/>
      </c>
      <c r="AO96" s="772" t="str">
        <f>IF($C96=0,"",SUMIFS(INPUT_DATA!BK:BK,INPUT_DATA!$A:$A,$C96,INPUT_DATA!$C:$C,"D"))</f>
        <v/>
      </c>
      <c r="AP96" s="354" t="str">
        <f t="shared" si="18"/>
        <v/>
      </c>
      <c r="AQ96" s="149"/>
      <c r="AS96" s="354" t="str">
        <f t="shared" si="19"/>
        <v/>
      </c>
      <c r="AU96" s="378" t="str">
        <f>IF($C96=0,"",'03 - Monthly Asset Follow up'!E100+'03 - Monthly Asset Follow up'!F100-'03 - Monthly Asset Follow up'!U100+'03 - Monthly Asset Follow up'!X100-H96)</f>
        <v/>
      </c>
      <c r="AV96" s="378" t="str">
        <f>IF($C96=0,"",'03 - Monthly Asset Follow up'!BD100+'03 - Monthly Asset Follow up'!BE100-'03 - Monthly Asset Follow up'!BT100+'03 - Monthly Asset Follow up'!BW100-AA96)</f>
        <v/>
      </c>
      <c r="AX96" s="154"/>
    </row>
    <row r="97" spans="2:50" x14ac:dyDescent="0.2">
      <c r="B97" s="753" t="str">
        <f t="shared" si="14"/>
        <v/>
      </c>
      <c r="C97" s="756">
        <f>'03 - Monthly Asset Follow up'!B101</f>
        <v>0</v>
      </c>
      <c r="D97" s="149"/>
      <c r="E97" s="749" t="str">
        <f>IF($C97=0,"",SUMIFS(INPUT_DATA!AU:AU,INPUT_DATA!$A:$A,$C97,INPUT_DATA!$C:$C,"S"))</f>
        <v/>
      </c>
      <c r="F97" s="761" t="str">
        <f>IF($C97=0,"",SUMIFS(INPUT_DATA!AV:AV,INPUT_DATA!$A:$A,$C97,INPUT_DATA!$C:$C,"S"))</f>
        <v/>
      </c>
      <c r="G97" s="761" t="str">
        <f>IF($C97=0,"",SUMIFS(INPUT_DATA!AW:AW,INPUT_DATA!$A:$A,$C97,INPUT_DATA!$C:$C,"S"))</f>
        <v/>
      </c>
      <c r="H97" s="763" t="str">
        <f t="shared" si="10"/>
        <v/>
      </c>
      <c r="I97" s="761" t="str">
        <f>IF($C97=0,"",SUMIFS(INPUT_DATA!AY:AY,INPUT_DATA!$A:$A,$C97,INPUT_DATA!$C:$C,"S"))</f>
        <v/>
      </c>
      <c r="J97" s="761" t="str">
        <f>IF($C97=0,"",SUMIFS(INPUT_DATA!AZ:AZ,INPUT_DATA!$A:$A,$C97,INPUT_DATA!$C:$C,"S"))</f>
        <v/>
      </c>
      <c r="K97" s="761" t="str">
        <f>IF($C97=0,"",SUMIFS(INPUT_DATA!BA:BA,INPUT_DATA!$A:$A,$C97,INPUT_DATA!$C:$C,"S"))</f>
        <v/>
      </c>
      <c r="L97" s="761" t="str">
        <f>IF($C97=0,"",SUMIFS(INPUT_DATA!BB:BB,INPUT_DATA!$A:$A,$C97,INPUT_DATA!$C:$C,"S"))</f>
        <v/>
      </c>
      <c r="M97" s="761" t="str">
        <f>IF($C97=0,"",SUMIFS(INPUT_DATA!BC:BC,INPUT_DATA!$A:$A,$C97,INPUT_DATA!$C:$C,"S"))</f>
        <v/>
      </c>
      <c r="N97" s="761" t="str">
        <f>IF($C97=0,"",SUMIFS(INPUT_DATA!BD:BD,INPUT_DATA!$A:$A,$C97,INPUT_DATA!$C:$C,"S"))</f>
        <v/>
      </c>
      <c r="O97" s="761" t="str">
        <f>IF($C97=0,"",SUMIFS(INPUT_DATA!BE:BE,INPUT_DATA!$A:$A,$C97,INPUT_DATA!$C:$C,"S"))</f>
        <v/>
      </c>
      <c r="P97" s="761" t="str">
        <f>IF($C97=0,"",SUMIFS(INPUT_DATA!BF:BF,INPUT_DATA!$A:$A,$C97,INPUT_DATA!$C:$C,"S"))</f>
        <v/>
      </c>
      <c r="Q97" s="767" t="str">
        <f t="shared" si="15"/>
        <v/>
      </c>
      <c r="R97" s="769" t="str">
        <f>IF($C97=0,"",SUMIFS(INPUT_DATA!BH:BH,INPUT_DATA!$A:$A,$C97,INPUT_DATA!$C:$C,"S"))</f>
        <v/>
      </c>
      <c r="S97" s="769" t="str">
        <f>IF($C97=0,"",SUMIFS(INPUT_DATA!BI:BI,INPUT_DATA!$A:$A,$C97,INPUT_DATA!$C:$C,"S"))</f>
        <v/>
      </c>
      <c r="T97" s="767" t="str">
        <f t="shared" si="16"/>
        <v/>
      </c>
      <c r="U97" s="772" t="str">
        <f>IF($C97=0,"",SUMIFS(INPUT_DATA!BL:BL,INPUT_DATA!$A:$A,$C97,INPUT_DATA!$C:$C,"S"))</f>
        <v/>
      </c>
      <c r="V97" s="155" t="str">
        <f t="shared" si="11"/>
        <v/>
      </c>
      <c r="W97" s="149"/>
      <c r="X97" s="749" t="str">
        <f>IF($C97=0,"",SUMIFS(INPUT_DATA!AU:AU,INPUT_DATA!$A:$A,$C97,INPUT_DATA!$C:$C,"D"))</f>
        <v/>
      </c>
      <c r="Y97" s="761" t="str">
        <f>IF($C97=0,"",SUMIFS(INPUT_DATA!AV:AV,INPUT_DATA!$A:$A,$C97,INPUT_DATA!$C:$C,"D"))</f>
        <v/>
      </c>
      <c r="Z97" s="761" t="str">
        <f>IF($C97=0,"",SUMIFS(INPUT_DATA!AW:AW,INPUT_DATA!$A:$A,$C97,INPUT_DATA!$C:$C,"D"))</f>
        <v/>
      </c>
      <c r="AA97" s="762" t="str">
        <f t="shared" si="12"/>
        <v/>
      </c>
      <c r="AB97" s="761" t="str">
        <f>IF($C97=0,"",SUMIFS(INPUT_DATA!AX:AX,INPUT_DATA!$A:$A,$C97,INPUT_DATA!$C:$C,"D"))</f>
        <v/>
      </c>
      <c r="AC97" s="761" t="str">
        <f>IF($C97=0,"",SUMIFS(INPUT_DATA!AY:AY,INPUT_DATA!$A:$A,$C97,INPUT_DATA!$C:$C,"D"))</f>
        <v/>
      </c>
      <c r="AD97" s="761" t="str">
        <f>IF($C97=0,"",SUMIFS(INPUT_DATA!AZ:AZ,INPUT_DATA!$A:$A,$C97,INPUT_DATA!$C:$C,"D"))</f>
        <v/>
      </c>
      <c r="AE97" s="761" t="str">
        <f>IF($C97=0,"",SUMIFS(INPUT_DATA!BA:BA,INPUT_DATA!$A:$A,$C97,INPUT_DATA!$C:$C,"D"))</f>
        <v/>
      </c>
      <c r="AF97" s="761" t="str">
        <f>IF($C97=0,"",SUMIFS(INPUT_DATA!BB:BB,INPUT_DATA!$A:$A,$C97,INPUT_DATA!$C:$C,"D"))</f>
        <v/>
      </c>
      <c r="AG97" s="761" t="str">
        <f>IF($C97=0,"",SUMIFS(INPUT_DATA!BC:BC,INPUT_DATA!$A:$A,$C97,INPUT_DATA!$C:$C,"D"))</f>
        <v/>
      </c>
      <c r="AH97" s="761" t="str">
        <f>IF($C97=0,"",SUMIFS(INPUT_DATA!BD:BD,INPUT_DATA!$A:$A,$C97,INPUT_DATA!$C:$C,"D"))</f>
        <v/>
      </c>
      <c r="AI97" s="761" t="str">
        <f>IF($C97=0,"",SUMIFS(INPUT_DATA!BE:BE,INPUT_DATA!$A:$A,$C97,INPUT_DATA!$C:$C,"D"))</f>
        <v/>
      </c>
      <c r="AJ97" s="314" t="str">
        <f t="shared" si="13"/>
        <v/>
      </c>
      <c r="AK97" s="769" t="str">
        <f>IF($C97=0,"",SUMIFS(INPUT_DATA!BG:BG,INPUT_DATA!$A:$A,$C97,INPUT_DATA!$C:$C,"D"))</f>
        <v/>
      </c>
      <c r="AL97" s="769" t="str">
        <f>IF($C97=0,"",SUMIFS(INPUT_DATA!BH:BH,INPUT_DATA!$A:$A,$C97,INPUT_DATA!$C:$C,"D"))</f>
        <v/>
      </c>
      <c r="AM97" s="769" t="str">
        <f>IF($C97=0,"",SUMIFS(INPUT_DATA!BI:BI,INPUT_DATA!$A:$A,$C97,INPUT_DATA!$C:$C,"D"))</f>
        <v/>
      </c>
      <c r="AN97" s="767" t="str">
        <f t="shared" si="17"/>
        <v/>
      </c>
      <c r="AO97" s="772" t="str">
        <f>IF($C97=0,"",SUMIFS(INPUT_DATA!BK:BK,INPUT_DATA!$A:$A,$C97,INPUT_DATA!$C:$C,"D"))</f>
        <v/>
      </c>
      <c r="AP97" s="354" t="str">
        <f t="shared" si="18"/>
        <v/>
      </c>
      <c r="AQ97" s="149"/>
      <c r="AS97" s="354" t="str">
        <f t="shared" si="19"/>
        <v/>
      </c>
      <c r="AU97" s="378" t="str">
        <f>IF($C97=0,"",'03 - Monthly Asset Follow up'!E101+'03 - Monthly Asset Follow up'!F101-'03 - Monthly Asset Follow up'!U101+'03 - Monthly Asset Follow up'!X101-H97)</f>
        <v/>
      </c>
      <c r="AV97" s="378" t="str">
        <f>IF($C97=0,"",'03 - Monthly Asset Follow up'!BD101+'03 - Monthly Asset Follow up'!BE101-'03 - Monthly Asset Follow up'!BT101+'03 - Monthly Asset Follow up'!BW101-AA97)</f>
        <v/>
      </c>
      <c r="AX97" s="154"/>
    </row>
    <row r="98" spans="2:50" x14ac:dyDescent="0.2">
      <c r="B98" s="753" t="str">
        <f t="shared" si="14"/>
        <v/>
      </c>
      <c r="C98" s="756">
        <f>'03 - Monthly Asset Follow up'!B102</f>
        <v>0</v>
      </c>
      <c r="D98" s="149"/>
      <c r="E98" s="749" t="str">
        <f>IF($C98=0,"",SUMIFS(INPUT_DATA!AU:AU,INPUT_DATA!$A:$A,$C98,INPUT_DATA!$C:$C,"S"))</f>
        <v/>
      </c>
      <c r="F98" s="761" t="str">
        <f>IF($C98=0,"",SUMIFS(INPUT_DATA!AV:AV,INPUT_DATA!$A:$A,$C98,INPUT_DATA!$C:$C,"S"))</f>
        <v/>
      </c>
      <c r="G98" s="761" t="str">
        <f>IF($C98=0,"",SUMIFS(INPUT_DATA!AW:AW,INPUT_DATA!$A:$A,$C98,INPUT_DATA!$C:$C,"S"))</f>
        <v/>
      </c>
      <c r="H98" s="763" t="str">
        <f t="shared" si="10"/>
        <v/>
      </c>
      <c r="I98" s="761" t="str">
        <f>IF($C98=0,"",SUMIFS(INPUT_DATA!AY:AY,INPUT_DATA!$A:$A,$C98,INPUT_DATA!$C:$C,"S"))</f>
        <v/>
      </c>
      <c r="J98" s="761" t="str">
        <f>IF($C98=0,"",SUMIFS(INPUT_DATA!AZ:AZ,INPUT_DATA!$A:$A,$C98,INPUT_DATA!$C:$C,"S"))</f>
        <v/>
      </c>
      <c r="K98" s="761" t="str">
        <f>IF($C98=0,"",SUMIFS(INPUT_DATA!BA:BA,INPUT_DATA!$A:$A,$C98,INPUT_DATA!$C:$C,"S"))</f>
        <v/>
      </c>
      <c r="L98" s="761" t="str">
        <f>IF($C98=0,"",SUMIFS(INPUT_DATA!BB:BB,INPUT_DATA!$A:$A,$C98,INPUT_DATA!$C:$C,"S"))</f>
        <v/>
      </c>
      <c r="M98" s="761" t="str">
        <f>IF($C98=0,"",SUMIFS(INPUT_DATA!BC:BC,INPUT_DATA!$A:$A,$C98,INPUT_DATA!$C:$C,"S"))</f>
        <v/>
      </c>
      <c r="N98" s="761" t="str">
        <f>IF($C98=0,"",SUMIFS(INPUT_DATA!BD:BD,INPUT_DATA!$A:$A,$C98,INPUT_DATA!$C:$C,"S"))</f>
        <v/>
      </c>
      <c r="O98" s="761" t="str">
        <f>IF($C98=0,"",SUMIFS(INPUT_DATA!BE:BE,INPUT_DATA!$A:$A,$C98,INPUT_DATA!$C:$C,"S"))</f>
        <v/>
      </c>
      <c r="P98" s="761" t="str">
        <f>IF($C98=0,"",SUMIFS(INPUT_DATA!BF:BF,INPUT_DATA!$A:$A,$C98,INPUT_DATA!$C:$C,"S"))</f>
        <v/>
      </c>
      <c r="Q98" s="767" t="str">
        <f t="shared" si="15"/>
        <v/>
      </c>
      <c r="R98" s="769" t="str">
        <f>IF($C98=0,"",SUMIFS(INPUT_DATA!BH:BH,INPUT_DATA!$A:$A,$C98,INPUT_DATA!$C:$C,"S"))</f>
        <v/>
      </c>
      <c r="S98" s="769" t="str">
        <f>IF($C98=0,"",SUMIFS(INPUT_DATA!BI:BI,INPUT_DATA!$A:$A,$C98,INPUT_DATA!$C:$C,"S"))</f>
        <v/>
      </c>
      <c r="T98" s="767" t="str">
        <f t="shared" si="16"/>
        <v/>
      </c>
      <c r="U98" s="772" t="str">
        <f>IF($C98=0,"",SUMIFS(INPUT_DATA!BL:BL,INPUT_DATA!$A:$A,$C98,INPUT_DATA!$C:$C,"S"))</f>
        <v/>
      </c>
      <c r="V98" s="155" t="str">
        <f t="shared" si="11"/>
        <v/>
      </c>
      <c r="W98" s="149"/>
      <c r="X98" s="749" t="str">
        <f>IF($C98=0,"",SUMIFS(INPUT_DATA!AU:AU,INPUT_DATA!$A:$A,$C98,INPUT_DATA!$C:$C,"D"))</f>
        <v/>
      </c>
      <c r="Y98" s="761" t="str">
        <f>IF($C98=0,"",SUMIFS(INPUT_DATA!AV:AV,INPUT_DATA!$A:$A,$C98,INPUT_DATA!$C:$C,"D"))</f>
        <v/>
      </c>
      <c r="Z98" s="761" t="str">
        <f>IF($C98=0,"",SUMIFS(INPUT_DATA!AW:AW,INPUT_DATA!$A:$A,$C98,INPUT_DATA!$C:$C,"D"))</f>
        <v/>
      </c>
      <c r="AA98" s="762" t="str">
        <f t="shared" si="12"/>
        <v/>
      </c>
      <c r="AB98" s="761" t="str">
        <f>IF($C98=0,"",SUMIFS(INPUT_DATA!AX:AX,INPUT_DATA!$A:$A,$C98,INPUT_DATA!$C:$C,"D"))</f>
        <v/>
      </c>
      <c r="AC98" s="761" t="str">
        <f>IF($C98=0,"",SUMIFS(INPUT_DATA!AY:AY,INPUT_DATA!$A:$A,$C98,INPUT_DATA!$C:$C,"D"))</f>
        <v/>
      </c>
      <c r="AD98" s="761" t="str">
        <f>IF($C98=0,"",SUMIFS(INPUT_DATA!AZ:AZ,INPUT_DATA!$A:$A,$C98,INPUT_DATA!$C:$C,"D"))</f>
        <v/>
      </c>
      <c r="AE98" s="761" t="str">
        <f>IF($C98=0,"",SUMIFS(INPUT_DATA!BA:BA,INPUT_DATA!$A:$A,$C98,INPUT_DATA!$C:$C,"D"))</f>
        <v/>
      </c>
      <c r="AF98" s="761" t="str">
        <f>IF($C98=0,"",SUMIFS(INPUT_DATA!BB:BB,INPUT_DATA!$A:$A,$C98,INPUT_DATA!$C:$C,"D"))</f>
        <v/>
      </c>
      <c r="AG98" s="761" t="str">
        <f>IF($C98=0,"",SUMIFS(INPUT_DATA!BC:BC,INPUT_DATA!$A:$A,$C98,INPUT_DATA!$C:$C,"D"))</f>
        <v/>
      </c>
      <c r="AH98" s="761" t="str">
        <f>IF($C98=0,"",SUMIFS(INPUT_DATA!BD:BD,INPUT_DATA!$A:$A,$C98,INPUT_DATA!$C:$C,"D"))</f>
        <v/>
      </c>
      <c r="AI98" s="761" t="str">
        <f>IF($C98=0,"",SUMIFS(INPUT_DATA!BE:BE,INPUT_DATA!$A:$A,$C98,INPUT_DATA!$C:$C,"D"))</f>
        <v/>
      </c>
      <c r="AJ98" s="314" t="str">
        <f t="shared" si="13"/>
        <v/>
      </c>
      <c r="AK98" s="769" t="str">
        <f>IF($C98=0,"",SUMIFS(INPUT_DATA!BG:BG,INPUT_DATA!$A:$A,$C98,INPUT_DATA!$C:$C,"D"))</f>
        <v/>
      </c>
      <c r="AL98" s="769" t="str">
        <f>IF($C98=0,"",SUMIFS(INPUT_DATA!BH:BH,INPUT_DATA!$A:$A,$C98,INPUT_DATA!$C:$C,"D"))</f>
        <v/>
      </c>
      <c r="AM98" s="769" t="str">
        <f>IF($C98=0,"",SUMIFS(INPUT_DATA!BI:BI,INPUT_DATA!$A:$A,$C98,INPUT_DATA!$C:$C,"D"))</f>
        <v/>
      </c>
      <c r="AN98" s="767" t="str">
        <f t="shared" si="17"/>
        <v/>
      </c>
      <c r="AO98" s="772" t="str">
        <f>IF($C98=0,"",SUMIFS(INPUT_DATA!BK:BK,INPUT_DATA!$A:$A,$C98,INPUT_DATA!$C:$C,"D"))</f>
        <v/>
      </c>
      <c r="AP98" s="354" t="str">
        <f t="shared" si="18"/>
        <v/>
      </c>
      <c r="AQ98" s="149"/>
      <c r="AS98" s="354" t="str">
        <f t="shared" si="19"/>
        <v/>
      </c>
      <c r="AU98" s="378" t="str">
        <f>IF($C98=0,"",'03 - Monthly Asset Follow up'!E102+'03 - Monthly Asset Follow up'!F102-'03 - Monthly Asset Follow up'!U102+'03 - Monthly Asset Follow up'!X102-H98)</f>
        <v/>
      </c>
      <c r="AV98" s="378" t="str">
        <f>IF($C98=0,"",'03 - Monthly Asset Follow up'!BD102+'03 - Monthly Asset Follow up'!BE102-'03 - Monthly Asset Follow up'!BT102+'03 - Monthly Asset Follow up'!BW102-AA98)</f>
        <v/>
      </c>
      <c r="AX98" s="154"/>
    </row>
    <row r="99" spans="2:50" x14ac:dyDescent="0.2">
      <c r="B99" s="753" t="str">
        <f t="shared" si="14"/>
        <v/>
      </c>
      <c r="C99" s="756">
        <f>'03 - Monthly Asset Follow up'!B103</f>
        <v>0</v>
      </c>
      <c r="D99" s="149"/>
      <c r="E99" s="749" t="str">
        <f>IF($C99=0,"",SUMIFS(INPUT_DATA!AU:AU,INPUT_DATA!$A:$A,$C99,INPUT_DATA!$C:$C,"S"))</f>
        <v/>
      </c>
      <c r="F99" s="761" t="str">
        <f>IF($C99=0,"",SUMIFS(INPUT_DATA!AV:AV,INPUT_DATA!$A:$A,$C99,INPUT_DATA!$C:$C,"S"))</f>
        <v/>
      </c>
      <c r="G99" s="761" t="str">
        <f>IF($C99=0,"",SUMIFS(INPUT_DATA!AW:AW,INPUT_DATA!$A:$A,$C99,INPUT_DATA!$C:$C,"S"))</f>
        <v/>
      </c>
      <c r="H99" s="763" t="str">
        <f t="shared" si="10"/>
        <v/>
      </c>
      <c r="I99" s="761" t="str">
        <f>IF($C99=0,"",SUMIFS(INPUT_DATA!AY:AY,INPUT_DATA!$A:$A,$C99,INPUT_DATA!$C:$C,"S"))</f>
        <v/>
      </c>
      <c r="J99" s="761" t="str">
        <f>IF($C99=0,"",SUMIFS(INPUT_DATA!AZ:AZ,INPUT_DATA!$A:$A,$C99,INPUT_DATA!$C:$C,"S"))</f>
        <v/>
      </c>
      <c r="K99" s="761" t="str">
        <f>IF($C99=0,"",SUMIFS(INPUT_DATA!BA:BA,INPUT_DATA!$A:$A,$C99,INPUT_DATA!$C:$C,"S"))</f>
        <v/>
      </c>
      <c r="L99" s="761" t="str">
        <f>IF($C99=0,"",SUMIFS(INPUT_DATA!BB:BB,INPUT_DATA!$A:$A,$C99,INPUT_DATA!$C:$C,"S"))</f>
        <v/>
      </c>
      <c r="M99" s="761" t="str">
        <f>IF($C99=0,"",SUMIFS(INPUT_DATA!BC:BC,INPUT_DATA!$A:$A,$C99,INPUT_DATA!$C:$C,"S"))</f>
        <v/>
      </c>
      <c r="N99" s="761" t="str">
        <f>IF($C99=0,"",SUMIFS(INPUT_DATA!BD:BD,INPUT_DATA!$A:$A,$C99,INPUT_DATA!$C:$C,"S"))</f>
        <v/>
      </c>
      <c r="O99" s="761" t="str">
        <f>IF($C99=0,"",SUMIFS(INPUT_DATA!BE:BE,INPUT_DATA!$A:$A,$C99,INPUT_DATA!$C:$C,"S"))</f>
        <v/>
      </c>
      <c r="P99" s="761" t="str">
        <f>IF($C99=0,"",SUMIFS(INPUT_DATA!BF:BF,INPUT_DATA!$A:$A,$C99,INPUT_DATA!$C:$C,"S"))</f>
        <v/>
      </c>
      <c r="Q99" s="767" t="str">
        <f t="shared" si="15"/>
        <v/>
      </c>
      <c r="R99" s="769" t="str">
        <f>IF($C99=0,"",SUMIFS(INPUT_DATA!BH:BH,INPUT_DATA!$A:$A,$C99,INPUT_DATA!$C:$C,"S"))</f>
        <v/>
      </c>
      <c r="S99" s="769" t="str">
        <f>IF($C99=0,"",SUMIFS(INPUT_DATA!BI:BI,INPUT_DATA!$A:$A,$C99,INPUT_DATA!$C:$C,"S"))</f>
        <v/>
      </c>
      <c r="T99" s="767" t="str">
        <f t="shared" si="16"/>
        <v/>
      </c>
      <c r="U99" s="772" t="str">
        <f>IF($C99=0,"",SUMIFS(INPUT_DATA!BL:BL,INPUT_DATA!$A:$A,$C99,INPUT_DATA!$C:$C,"S"))</f>
        <v/>
      </c>
      <c r="V99" s="155" t="str">
        <f t="shared" si="11"/>
        <v/>
      </c>
      <c r="W99" s="149"/>
      <c r="X99" s="749" t="str">
        <f>IF($C99=0,"",SUMIFS(INPUT_DATA!AU:AU,INPUT_DATA!$A:$A,$C99,INPUT_DATA!$C:$C,"D"))</f>
        <v/>
      </c>
      <c r="Y99" s="761" t="str">
        <f>IF($C99=0,"",SUMIFS(INPUT_DATA!AV:AV,INPUT_DATA!$A:$A,$C99,INPUT_DATA!$C:$C,"D"))</f>
        <v/>
      </c>
      <c r="Z99" s="761" t="str">
        <f>IF($C99=0,"",SUMIFS(INPUT_DATA!AW:AW,INPUT_DATA!$A:$A,$C99,INPUT_DATA!$C:$C,"D"))</f>
        <v/>
      </c>
      <c r="AA99" s="762" t="str">
        <f t="shared" si="12"/>
        <v/>
      </c>
      <c r="AB99" s="761" t="str">
        <f>IF($C99=0,"",SUMIFS(INPUT_DATA!AX:AX,INPUT_DATA!$A:$A,$C99,INPUT_DATA!$C:$C,"D"))</f>
        <v/>
      </c>
      <c r="AC99" s="761" t="str">
        <f>IF($C99=0,"",SUMIFS(INPUT_DATA!AY:AY,INPUT_DATA!$A:$A,$C99,INPUT_DATA!$C:$C,"D"))</f>
        <v/>
      </c>
      <c r="AD99" s="761" t="str">
        <f>IF($C99=0,"",SUMIFS(INPUT_DATA!AZ:AZ,INPUT_DATA!$A:$A,$C99,INPUT_DATA!$C:$C,"D"))</f>
        <v/>
      </c>
      <c r="AE99" s="761" t="str">
        <f>IF($C99=0,"",SUMIFS(INPUT_DATA!BA:BA,INPUT_DATA!$A:$A,$C99,INPUT_DATA!$C:$C,"D"))</f>
        <v/>
      </c>
      <c r="AF99" s="761" t="str">
        <f>IF($C99=0,"",SUMIFS(INPUT_DATA!BB:BB,INPUT_DATA!$A:$A,$C99,INPUT_DATA!$C:$C,"D"))</f>
        <v/>
      </c>
      <c r="AG99" s="761" t="str">
        <f>IF($C99=0,"",SUMIFS(INPUT_DATA!BC:BC,INPUT_DATA!$A:$A,$C99,INPUT_DATA!$C:$C,"D"))</f>
        <v/>
      </c>
      <c r="AH99" s="761" t="str">
        <f>IF($C99=0,"",SUMIFS(INPUT_DATA!BD:BD,INPUT_DATA!$A:$A,$C99,INPUT_DATA!$C:$C,"D"))</f>
        <v/>
      </c>
      <c r="AI99" s="761" t="str">
        <f>IF($C99=0,"",SUMIFS(INPUT_DATA!BE:BE,INPUT_DATA!$A:$A,$C99,INPUT_DATA!$C:$C,"D"))</f>
        <v/>
      </c>
      <c r="AJ99" s="314" t="str">
        <f t="shared" si="13"/>
        <v/>
      </c>
      <c r="AK99" s="769" t="str">
        <f>IF($C99=0,"",SUMIFS(INPUT_DATA!BG:BG,INPUT_DATA!$A:$A,$C99,INPUT_DATA!$C:$C,"D"))</f>
        <v/>
      </c>
      <c r="AL99" s="769" t="str">
        <f>IF($C99=0,"",SUMIFS(INPUT_DATA!BH:BH,INPUT_DATA!$A:$A,$C99,INPUT_DATA!$C:$C,"D"))</f>
        <v/>
      </c>
      <c r="AM99" s="769" t="str">
        <f>IF($C99=0,"",SUMIFS(INPUT_DATA!BI:BI,INPUT_DATA!$A:$A,$C99,INPUT_DATA!$C:$C,"D"))</f>
        <v/>
      </c>
      <c r="AN99" s="767" t="str">
        <f t="shared" si="17"/>
        <v/>
      </c>
      <c r="AO99" s="772" t="str">
        <f>IF($C99=0,"",SUMIFS(INPUT_DATA!BK:BK,INPUT_DATA!$A:$A,$C99,INPUT_DATA!$C:$C,"D"))</f>
        <v/>
      </c>
      <c r="AP99" s="354" t="str">
        <f t="shared" si="18"/>
        <v/>
      </c>
      <c r="AQ99" s="149"/>
      <c r="AS99" s="354" t="str">
        <f t="shared" si="19"/>
        <v/>
      </c>
      <c r="AU99" s="378" t="str">
        <f>IF($C99=0,"",'03 - Monthly Asset Follow up'!E103+'03 - Monthly Asset Follow up'!F103-'03 - Monthly Asset Follow up'!U103+'03 - Monthly Asset Follow up'!X103-H99)</f>
        <v/>
      </c>
      <c r="AV99" s="378" t="str">
        <f>IF($C99=0,"",'03 - Monthly Asset Follow up'!BD103+'03 - Monthly Asset Follow up'!BE103-'03 - Monthly Asset Follow up'!BT103+'03 - Monthly Asset Follow up'!BW103-AA99)</f>
        <v/>
      </c>
      <c r="AX99" s="154"/>
    </row>
    <row r="100" spans="2:50" x14ac:dyDescent="0.2">
      <c r="B100" s="753" t="str">
        <f t="shared" si="14"/>
        <v/>
      </c>
      <c r="C100" s="756">
        <f>'03 - Monthly Asset Follow up'!B104</f>
        <v>0</v>
      </c>
      <c r="D100" s="149"/>
      <c r="E100" s="749" t="str">
        <f>IF($C100=0,"",SUMIFS(INPUT_DATA!AU:AU,INPUT_DATA!$A:$A,$C100,INPUT_DATA!$C:$C,"S"))</f>
        <v/>
      </c>
      <c r="F100" s="761" t="str">
        <f>IF($C100=0,"",SUMIFS(INPUT_DATA!AV:AV,INPUT_DATA!$A:$A,$C100,INPUT_DATA!$C:$C,"S"))</f>
        <v/>
      </c>
      <c r="G100" s="761" t="str">
        <f>IF($C100=0,"",SUMIFS(INPUT_DATA!AW:AW,INPUT_DATA!$A:$A,$C100,INPUT_DATA!$C:$C,"S"))</f>
        <v/>
      </c>
      <c r="H100" s="763" t="str">
        <f t="shared" si="10"/>
        <v/>
      </c>
      <c r="I100" s="761" t="str">
        <f>IF($C100=0,"",SUMIFS(INPUT_DATA!AY:AY,INPUT_DATA!$A:$A,$C100,INPUT_DATA!$C:$C,"S"))</f>
        <v/>
      </c>
      <c r="J100" s="761" t="str">
        <f>IF($C100=0,"",SUMIFS(INPUT_DATA!AZ:AZ,INPUT_DATA!$A:$A,$C100,INPUT_DATA!$C:$C,"S"))</f>
        <v/>
      </c>
      <c r="K100" s="761" t="str">
        <f>IF($C100=0,"",SUMIFS(INPUT_DATA!BA:BA,INPUT_DATA!$A:$A,$C100,INPUT_DATA!$C:$C,"S"))</f>
        <v/>
      </c>
      <c r="L100" s="761" t="str">
        <f>IF($C100=0,"",SUMIFS(INPUT_DATA!BB:BB,INPUT_DATA!$A:$A,$C100,INPUT_DATA!$C:$C,"S"))</f>
        <v/>
      </c>
      <c r="M100" s="761" t="str">
        <f>IF($C100=0,"",SUMIFS(INPUT_DATA!BC:BC,INPUT_DATA!$A:$A,$C100,INPUT_DATA!$C:$C,"S"))</f>
        <v/>
      </c>
      <c r="N100" s="761" t="str">
        <f>IF($C100=0,"",SUMIFS(INPUT_DATA!BD:BD,INPUT_DATA!$A:$A,$C100,INPUT_DATA!$C:$C,"S"))</f>
        <v/>
      </c>
      <c r="O100" s="761" t="str">
        <f>IF($C100=0,"",SUMIFS(INPUT_DATA!BE:BE,INPUT_DATA!$A:$A,$C100,INPUT_DATA!$C:$C,"S"))</f>
        <v/>
      </c>
      <c r="P100" s="761" t="str">
        <f>IF($C100=0,"",SUMIFS(INPUT_DATA!BF:BF,INPUT_DATA!$A:$A,$C100,INPUT_DATA!$C:$C,"S"))</f>
        <v/>
      </c>
      <c r="Q100" s="767" t="str">
        <f t="shared" si="15"/>
        <v/>
      </c>
      <c r="R100" s="769" t="str">
        <f>IF($C100=0,"",SUMIFS(INPUT_DATA!BH:BH,INPUT_DATA!$A:$A,$C100,INPUT_DATA!$C:$C,"S"))</f>
        <v/>
      </c>
      <c r="S100" s="769" t="str">
        <f>IF($C100=0,"",SUMIFS(INPUT_DATA!BI:BI,INPUT_DATA!$A:$A,$C100,INPUT_DATA!$C:$C,"S"))</f>
        <v/>
      </c>
      <c r="T100" s="767" t="str">
        <f t="shared" si="16"/>
        <v/>
      </c>
      <c r="U100" s="772" t="str">
        <f>IF($C100=0,"",SUMIFS(INPUT_DATA!BL:BL,INPUT_DATA!$A:$A,$C100,INPUT_DATA!$C:$C,"S"))</f>
        <v/>
      </c>
      <c r="V100" s="155" t="str">
        <f t="shared" si="11"/>
        <v/>
      </c>
      <c r="W100" s="149"/>
      <c r="X100" s="749" t="str">
        <f>IF($C100=0,"",SUMIFS(INPUT_DATA!AU:AU,INPUT_DATA!$A:$A,$C100,INPUT_DATA!$C:$C,"D"))</f>
        <v/>
      </c>
      <c r="Y100" s="761" t="str">
        <f>IF($C100=0,"",SUMIFS(INPUT_DATA!AV:AV,INPUT_DATA!$A:$A,$C100,INPUT_DATA!$C:$C,"D"))</f>
        <v/>
      </c>
      <c r="Z100" s="761" t="str">
        <f>IF($C100=0,"",SUMIFS(INPUT_DATA!AW:AW,INPUT_DATA!$A:$A,$C100,INPUT_DATA!$C:$C,"D"))</f>
        <v/>
      </c>
      <c r="AA100" s="762" t="str">
        <f t="shared" si="12"/>
        <v/>
      </c>
      <c r="AB100" s="761" t="str">
        <f>IF($C100=0,"",SUMIFS(INPUT_DATA!AX:AX,INPUT_DATA!$A:$A,$C100,INPUT_DATA!$C:$C,"D"))</f>
        <v/>
      </c>
      <c r="AC100" s="761" t="str">
        <f>IF($C100=0,"",SUMIFS(INPUT_DATA!AY:AY,INPUT_DATA!$A:$A,$C100,INPUT_DATA!$C:$C,"D"))</f>
        <v/>
      </c>
      <c r="AD100" s="761" t="str">
        <f>IF($C100=0,"",SUMIFS(INPUT_DATA!AZ:AZ,INPUT_DATA!$A:$A,$C100,INPUT_DATA!$C:$C,"D"))</f>
        <v/>
      </c>
      <c r="AE100" s="761" t="str">
        <f>IF($C100=0,"",SUMIFS(INPUT_DATA!BA:BA,INPUT_DATA!$A:$A,$C100,INPUT_DATA!$C:$C,"D"))</f>
        <v/>
      </c>
      <c r="AF100" s="761" t="str">
        <f>IF($C100=0,"",SUMIFS(INPUT_DATA!BB:BB,INPUT_DATA!$A:$A,$C100,INPUT_DATA!$C:$C,"D"))</f>
        <v/>
      </c>
      <c r="AG100" s="761" t="str">
        <f>IF($C100=0,"",SUMIFS(INPUT_DATA!BC:BC,INPUT_DATA!$A:$A,$C100,INPUT_DATA!$C:$C,"D"))</f>
        <v/>
      </c>
      <c r="AH100" s="761" t="str">
        <f>IF($C100=0,"",SUMIFS(INPUT_DATA!BD:BD,INPUT_DATA!$A:$A,$C100,INPUT_DATA!$C:$C,"D"))</f>
        <v/>
      </c>
      <c r="AI100" s="761" t="str">
        <f>IF($C100=0,"",SUMIFS(INPUT_DATA!BE:BE,INPUT_DATA!$A:$A,$C100,INPUT_DATA!$C:$C,"D"))</f>
        <v/>
      </c>
      <c r="AJ100" s="314" t="str">
        <f t="shared" si="13"/>
        <v/>
      </c>
      <c r="AK100" s="769" t="str">
        <f>IF($C100=0,"",SUMIFS(INPUT_DATA!BG:BG,INPUT_DATA!$A:$A,$C100,INPUT_DATA!$C:$C,"D"))</f>
        <v/>
      </c>
      <c r="AL100" s="769" t="str">
        <f>IF($C100=0,"",SUMIFS(INPUT_DATA!BH:BH,INPUT_DATA!$A:$A,$C100,INPUT_DATA!$C:$C,"D"))</f>
        <v/>
      </c>
      <c r="AM100" s="769" t="str">
        <f>IF($C100=0,"",SUMIFS(INPUT_DATA!BI:BI,INPUT_DATA!$A:$A,$C100,INPUT_DATA!$C:$C,"D"))</f>
        <v/>
      </c>
      <c r="AN100" s="767" t="str">
        <f t="shared" si="17"/>
        <v/>
      </c>
      <c r="AO100" s="772" t="str">
        <f>IF($C100=0,"",SUMIFS(INPUT_DATA!BK:BK,INPUT_DATA!$A:$A,$C100,INPUT_DATA!$C:$C,"D"))</f>
        <v/>
      </c>
      <c r="AP100" s="354" t="str">
        <f t="shared" si="18"/>
        <v/>
      </c>
      <c r="AQ100" s="149"/>
      <c r="AS100" s="354" t="str">
        <f t="shared" si="19"/>
        <v/>
      </c>
      <c r="AU100" s="378" t="str">
        <f>IF($C100=0,"",'03 - Monthly Asset Follow up'!E104+'03 - Monthly Asset Follow up'!F104-'03 - Monthly Asset Follow up'!U104+'03 - Monthly Asset Follow up'!X104-H100)</f>
        <v/>
      </c>
      <c r="AV100" s="378" t="str">
        <f>IF($C100=0,"",'03 - Monthly Asset Follow up'!BD104+'03 - Monthly Asset Follow up'!BE104-'03 - Monthly Asset Follow up'!BT104+'03 - Monthly Asset Follow up'!BW104-AA100)</f>
        <v/>
      </c>
      <c r="AX100" s="154"/>
    </row>
    <row r="101" spans="2:50" x14ac:dyDescent="0.2">
      <c r="B101" s="753" t="str">
        <f t="shared" si="14"/>
        <v/>
      </c>
      <c r="C101" s="756">
        <f>'03 - Monthly Asset Follow up'!B105</f>
        <v>0</v>
      </c>
      <c r="D101" s="149"/>
      <c r="E101" s="749" t="str">
        <f>IF($C101=0,"",SUMIFS(INPUT_DATA!AU:AU,INPUT_DATA!$A:$A,$C101,INPUT_DATA!$C:$C,"S"))</f>
        <v/>
      </c>
      <c r="F101" s="761" t="str">
        <f>IF($C101=0,"",SUMIFS(INPUT_DATA!AV:AV,INPUT_DATA!$A:$A,$C101,INPUT_DATA!$C:$C,"S"))</f>
        <v/>
      </c>
      <c r="G101" s="761" t="str">
        <f>IF($C101=0,"",SUMIFS(INPUT_DATA!AW:AW,INPUT_DATA!$A:$A,$C101,INPUT_DATA!$C:$C,"S"))</f>
        <v/>
      </c>
      <c r="H101" s="763" t="str">
        <f t="shared" si="10"/>
        <v/>
      </c>
      <c r="I101" s="761" t="str">
        <f>IF($C101=0,"",SUMIFS(INPUT_DATA!AY:AY,INPUT_DATA!$A:$A,$C101,INPUT_DATA!$C:$C,"S"))</f>
        <v/>
      </c>
      <c r="J101" s="761" t="str">
        <f>IF($C101=0,"",SUMIFS(INPUT_DATA!AZ:AZ,INPUT_DATA!$A:$A,$C101,INPUT_DATA!$C:$C,"S"))</f>
        <v/>
      </c>
      <c r="K101" s="761" t="str">
        <f>IF($C101=0,"",SUMIFS(INPUT_DATA!BA:BA,INPUT_DATA!$A:$A,$C101,INPUT_DATA!$C:$C,"S"))</f>
        <v/>
      </c>
      <c r="L101" s="761" t="str">
        <f>IF($C101=0,"",SUMIFS(INPUT_DATA!BB:BB,INPUT_DATA!$A:$A,$C101,INPUT_DATA!$C:$C,"S"))</f>
        <v/>
      </c>
      <c r="M101" s="761" t="str">
        <f>IF($C101=0,"",SUMIFS(INPUT_DATA!BC:BC,INPUT_DATA!$A:$A,$C101,INPUT_DATA!$C:$C,"S"))</f>
        <v/>
      </c>
      <c r="N101" s="761" t="str">
        <f>IF($C101=0,"",SUMIFS(INPUT_DATA!BD:BD,INPUT_DATA!$A:$A,$C101,INPUT_DATA!$C:$C,"S"))</f>
        <v/>
      </c>
      <c r="O101" s="761" t="str">
        <f>IF($C101=0,"",SUMIFS(INPUT_DATA!BE:BE,INPUT_DATA!$A:$A,$C101,INPUT_DATA!$C:$C,"S"))</f>
        <v/>
      </c>
      <c r="P101" s="761" t="str">
        <f>IF($C101=0,"",SUMIFS(INPUT_DATA!BF:BF,INPUT_DATA!$A:$A,$C101,INPUT_DATA!$C:$C,"S"))</f>
        <v/>
      </c>
      <c r="Q101" s="767" t="str">
        <f t="shared" si="15"/>
        <v/>
      </c>
      <c r="R101" s="769" t="str">
        <f>IF($C101=0,"",SUMIFS(INPUT_DATA!BH:BH,INPUT_DATA!$A:$A,$C101,INPUT_DATA!$C:$C,"S"))</f>
        <v/>
      </c>
      <c r="S101" s="769" t="str">
        <f>IF($C101=0,"",SUMIFS(INPUT_DATA!BI:BI,INPUT_DATA!$A:$A,$C101,INPUT_DATA!$C:$C,"S"))</f>
        <v/>
      </c>
      <c r="T101" s="767" t="str">
        <f t="shared" si="16"/>
        <v/>
      </c>
      <c r="U101" s="772" t="str">
        <f>IF($C101=0,"",SUMIFS(INPUT_DATA!BL:BL,INPUT_DATA!$A:$A,$C101,INPUT_DATA!$C:$C,"S"))</f>
        <v/>
      </c>
      <c r="V101" s="155" t="str">
        <f t="shared" si="11"/>
        <v/>
      </c>
      <c r="W101" s="149"/>
      <c r="X101" s="749" t="str">
        <f>IF($C101=0,"",SUMIFS(INPUT_DATA!AU:AU,INPUT_DATA!$A:$A,$C101,INPUT_DATA!$C:$C,"D"))</f>
        <v/>
      </c>
      <c r="Y101" s="761" t="str">
        <f>IF($C101=0,"",SUMIFS(INPUT_DATA!AV:AV,INPUT_DATA!$A:$A,$C101,INPUT_DATA!$C:$C,"D"))</f>
        <v/>
      </c>
      <c r="Z101" s="761" t="str">
        <f>IF($C101=0,"",SUMIFS(INPUT_DATA!AW:AW,INPUT_DATA!$A:$A,$C101,INPUT_DATA!$C:$C,"D"))</f>
        <v/>
      </c>
      <c r="AA101" s="762" t="str">
        <f t="shared" si="12"/>
        <v/>
      </c>
      <c r="AB101" s="761" t="str">
        <f>IF($C101=0,"",SUMIFS(INPUT_DATA!AX:AX,INPUT_DATA!$A:$A,$C101,INPUT_DATA!$C:$C,"D"))</f>
        <v/>
      </c>
      <c r="AC101" s="761" t="str">
        <f>IF($C101=0,"",SUMIFS(INPUT_DATA!AY:AY,INPUT_DATA!$A:$A,$C101,INPUT_DATA!$C:$C,"D"))</f>
        <v/>
      </c>
      <c r="AD101" s="761" t="str">
        <f>IF($C101=0,"",SUMIFS(INPUT_DATA!AZ:AZ,INPUT_DATA!$A:$A,$C101,INPUT_DATA!$C:$C,"D"))</f>
        <v/>
      </c>
      <c r="AE101" s="761" t="str">
        <f>IF($C101=0,"",SUMIFS(INPUT_DATA!BA:BA,INPUT_DATA!$A:$A,$C101,INPUT_DATA!$C:$C,"D"))</f>
        <v/>
      </c>
      <c r="AF101" s="761" t="str">
        <f>IF($C101=0,"",SUMIFS(INPUT_DATA!BB:BB,INPUT_DATA!$A:$A,$C101,INPUT_DATA!$C:$C,"D"))</f>
        <v/>
      </c>
      <c r="AG101" s="761" t="str">
        <f>IF($C101=0,"",SUMIFS(INPUT_DATA!BC:BC,INPUT_DATA!$A:$A,$C101,INPUT_DATA!$C:$C,"D"))</f>
        <v/>
      </c>
      <c r="AH101" s="761" t="str">
        <f>IF($C101=0,"",SUMIFS(INPUT_DATA!BD:BD,INPUT_DATA!$A:$A,$C101,INPUT_DATA!$C:$C,"D"))</f>
        <v/>
      </c>
      <c r="AI101" s="761" t="str">
        <f>IF($C101=0,"",SUMIFS(INPUT_DATA!BE:BE,INPUT_DATA!$A:$A,$C101,INPUT_DATA!$C:$C,"D"))</f>
        <v/>
      </c>
      <c r="AJ101" s="314" t="str">
        <f t="shared" si="13"/>
        <v/>
      </c>
      <c r="AK101" s="769" t="str">
        <f>IF($C101=0,"",SUMIFS(INPUT_DATA!BG:BG,INPUT_DATA!$A:$A,$C101,INPUT_DATA!$C:$C,"D"))</f>
        <v/>
      </c>
      <c r="AL101" s="769" t="str">
        <f>IF($C101=0,"",SUMIFS(INPUT_DATA!BH:BH,INPUT_DATA!$A:$A,$C101,INPUT_DATA!$C:$C,"D"))</f>
        <v/>
      </c>
      <c r="AM101" s="769" t="str">
        <f>IF($C101=0,"",SUMIFS(INPUT_DATA!BI:BI,INPUT_DATA!$A:$A,$C101,INPUT_DATA!$C:$C,"D"))</f>
        <v/>
      </c>
      <c r="AN101" s="767" t="str">
        <f t="shared" si="17"/>
        <v/>
      </c>
      <c r="AO101" s="772" t="str">
        <f>IF($C101=0,"",SUMIFS(INPUT_DATA!BK:BK,INPUT_DATA!$A:$A,$C101,INPUT_DATA!$C:$C,"D"))</f>
        <v/>
      </c>
      <c r="AP101" s="354" t="str">
        <f t="shared" si="18"/>
        <v/>
      </c>
      <c r="AQ101" s="149"/>
      <c r="AS101" s="354" t="str">
        <f t="shared" si="19"/>
        <v/>
      </c>
      <c r="AU101" s="378" t="str">
        <f>IF($C101=0,"",'03 - Monthly Asset Follow up'!E105+'03 - Monthly Asset Follow up'!F105-'03 - Monthly Asset Follow up'!U105+'03 - Monthly Asset Follow up'!X105-H101)</f>
        <v/>
      </c>
      <c r="AV101" s="378" t="str">
        <f>IF($C101=0,"",'03 - Monthly Asset Follow up'!BD105+'03 - Monthly Asset Follow up'!BE105-'03 - Monthly Asset Follow up'!BT105+'03 - Monthly Asset Follow up'!BW105-AA101)</f>
        <v/>
      </c>
      <c r="AX101" s="154"/>
    </row>
    <row r="102" spans="2:50" x14ac:dyDescent="0.2">
      <c r="B102" s="753" t="str">
        <f t="shared" si="14"/>
        <v/>
      </c>
      <c r="C102" s="756">
        <f>'03 - Monthly Asset Follow up'!B106</f>
        <v>0</v>
      </c>
      <c r="D102" s="149"/>
      <c r="E102" s="749" t="str">
        <f>IF($C102=0,"",SUMIFS(INPUT_DATA!AU:AU,INPUT_DATA!$A:$A,$C102,INPUT_DATA!$C:$C,"S"))</f>
        <v/>
      </c>
      <c r="F102" s="761" t="str">
        <f>IF($C102=0,"",SUMIFS(INPUT_DATA!AV:AV,INPUT_DATA!$A:$A,$C102,INPUT_DATA!$C:$C,"S"))</f>
        <v/>
      </c>
      <c r="G102" s="761" t="str">
        <f>IF($C102=0,"",SUMIFS(INPUT_DATA!AW:AW,INPUT_DATA!$A:$A,$C102,INPUT_DATA!$C:$C,"S"))</f>
        <v/>
      </c>
      <c r="H102" s="763" t="str">
        <f t="shared" si="10"/>
        <v/>
      </c>
      <c r="I102" s="761" t="str">
        <f>IF($C102=0,"",SUMIFS(INPUT_DATA!AY:AY,INPUT_DATA!$A:$A,$C102,INPUT_DATA!$C:$C,"S"))</f>
        <v/>
      </c>
      <c r="J102" s="761" t="str">
        <f>IF($C102=0,"",SUMIFS(INPUT_DATA!AZ:AZ,INPUT_DATA!$A:$A,$C102,INPUT_DATA!$C:$C,"S"))</f>
        <v/>
      </c>
      <c r="K102" s="761" t="str">
        <f>IF($C102=0,"",SUMIFS(INPUT_DATA!BA:BA,INPUT_DATA!$A:$A,$C102,INPUT_DATA!$C:$C,"S"))</f>
        <v/>
      </c>
      <c r="L102" s="761" t="str">
        <f>IF($C102=0,"",SUMIFS(INPUT_DATA!BB:BB,INPUT_DATA!$A:$A,$C102,INPUT_DATA!$C:$C,"S"))</f>
        <v/>
      </c>
      <c r="M102" s="761" t="str">
        <f>IF($C102=0,"",SUMIFS(INPUT_DATA!BC:BC,INPUT_DATA!$A:$A,$C102,INPUT_DATA!$C:$C,"S"))</f>
        <v/>
      </c>
      <c r="N102" s="761" t="str">
        <f>IF($C102=0,"",SUMIFS(INPUT_DATA!BD:BD,INPUT_DATA!$A:$A,$C102,INPUT_DATA!$C:$C,"S"))</f>
        <v/>
      </c>
      <c r="O102" s="761" t="str">
        <f>IF($C102=0,"",SUMIFS(INPUT_DATA!BE:BE,INPUT_DATA!$A:$A,$C102,INPUT_DATA!$C:$C,"S"))</f>
        <v/>
      </c>
      <c r="P102" s="761" t="str">
        <f>IF($C102=0,"",SUMIFS(INPUT_DATA!BF:BF,INPUT_DATA!$A:$A,$C102,INPUT_DATA!$C:$C,"S"))</f>
        <v/>
      </c>
      <c r="Q102" s="767" t="str">
        <f t="shared" si="15"/>
        <v/>
      </c>
      <c r="R102" s="769" t="str">
        <f>IF($C102=0,"",SUMIFS(INPUT_DATA!BH:BH,INPUT_DATA!$A:$A,$C102,INPUT_DATA!$C:$C,"S"))</f>
        <v/>
      </c>
      <c r="S102" s="769" t="str">
        <f>IF($C102=0,"",SUMIFS(INPUT_DATA!BI:BI,INPUT_DATA!$A:$A,$C102,INPUT_DATA!$C:$C,"S"))</f>
        <v/>
      </c>
      <c r="T102" s="767" t="str">
        <f t="shared" si="16"/>
        <v/>
      </c>
      <c r="U102" s="772" t="str">
        <f>IF($C102=0,"",SUMIFS(INPUT_DATA!BL:BL,INPUT_DATA!$A:$A,$C102,INPUT_DATA!$C:$C,"S"))</f>
        <v/>
      </c>
      <c r="V102" s="155" t="str">
        <f t="shared" si="11"/>
        <v/>
      </c>
      <c r="W102" s="149"/>
      <c r="X102" s="749" t="str">
        <f>IF($C102=0,"",SUMIFS(INPUT_DATA!AU:AU,INPUT_DATA!$A:$A,$C102,INPUT_DATA!$C:$C,"D"))</f>
        <v/>
      </c>
      <c r="Y102" s="761" t="str">
        <f>IF($C102=0,"",SUMIFS(INPUT_DATA!AV:AV,INPUT_DATA!$A:$A,$C102,INPUT_DATA!$C:$C,"D"))</f>
        <v/>
      </c>
      <c r="Z102" s="761" t="str">
        <f>IF($C102=0,"",SUMIFS(INPUT_DATA!AW:AW,INPUT_DATA!$A:$A,$C102,INPUT_DATA!$C:$C,"D"))</f>
        <v/>
      </c>
      <c r="AA102" s="762" t="str">
        <f t="shared" si="12"/>
        <v/>
      </c>
      <c r="AB102" s="761" t="str">
        <f>IF($C102=0,"",SUMIFS(INPUT_DATA!AX:AX,INPUT_DATA!$A:$A,$C102,INPUT_DATA!$C:$C,"D"))</f>
        <v/>
      </c>
      <c r="AC102" s="761" t="str">
        <f>IF($C102=0,"",SUMIFS(INPUT_DATA!AY:AY,INPUT_DATA!$A:$A,$C102,INPUT_DATA!$C:$C,"D"))</f>
        <v/>
      </c>
      <c r="AD102" s="761" t="str">
        <f>IF($C102=0,"",SUMIFS(INPUT_DATA!AZ:AZ,INPUT_DATA!$A:$A,$C102,INPUT_DATA!$C:$C,"D"))</f>
        <v/>
      </c>
      <c r="AE102" s="761" t="str">
        <f>IF($C102=0,"",SUMIFS(INPUT_DATA!BA:BA,INPUT_DATA!$A:$A,$C102,INPUT_DATA!$C:$C,"D"))</f>
        <v/>
      </c>
      <c r="AF102" s="761" t="str">
        <f>IF($C102=0,"",SUMIFS(INPUT_DATA!BB:BB,INPUT_DATA!$A:$A,$C102,INPUT_DATA!$C:$C,"D"))</f>
        <v/>
      </c>
      <c r="AG102" s="761" t="str">
        <f>IF($C102=0,"",SUMIFS(INPUT_DATA!BC:BC,INPUT_DATA!$A:$A,$C102,INPUT_DATA!$C:$C,"D"))</f>
        <v/>
      </c>
      <c r="AH102" s="761" t="str">
        <f>IF($C102=0,"",SUMIFS(INPUT_DATA!BD:BD,INPUT_DATA!$A:$A,$C102,INPUT_DATA!$C:$C,"D"))</f>
        <v/>
      </c>
      <c r="AI102" s="761" t="str">
        <f>IF($C102=0,"",SUMIFS(INPUT_DATA!BE:BE,INPUT_DATA!$A:$A,$C102,INPUT_DATA!$C:$C,"D"))</f>
        <v/>
      </c>
      <c r="AJ102" s="314" t="str">
        <f t="shared" si="13"/>
        <v/>
      </c>
      <c r="AK102" s="769" t="str">
        <f>IF($C102=0,"",SUMIFS(INPUT_DATA!BG:BG,INPUT_DATA!$A:$A,$C102,INPUT_DATA!$C:$C,"D"))</f>
        <v/>
      </c>
      <c r="AL102" s="769" t="str">
        <f>IF($C102=0,"",SUMIFS(INPUT_DATA!BH:BH,INPUT_DATA!$A:$A,$C102,INPUT_DATA!$C:$C,"D"))</f>
        <v/>
      </c>
      <c r="AM102" s="769" t="str">
        <f>IF($C102=0,"",SUMIFS(INPUT_DATA!BI:BI,INPUT_DATA!$A:$A,$C102,INPUT_DATA!$C:$C,"D"))</f>
        <v/>
      </c>
      <c r="AN102" s="767" t="str">
        <f t="shared" si="17"/>
        <v/>
      </c>
      <c r="AO102" s="772" t="str">
        <f>IF($C102=0,"",SUMIFS(INPUT_DATA!BK:BK,INPUT_DATA!$A:$A,$C102,INPUT_DATA!$C:$C,"D"))</f>
        <v/>
      </c>
      <c r="AP102" s="354" t="str">
        <f t="shared" si="18"/>
        <v/>
      </c>
      <c r="AQ102" s="149"/>
      <c r="AS102" s="354" t="str">
        <f t="shared" si="19"/>
        <v/>
      </c>
      <c r="AU102" s="378" t="str">
        <f>IF($C102=0,"",'03 - Monthly Asset Follow up'!E106+'03 - Monthly Asset Follow up'!F106-'03 - Monthly Asset Follow up'!U106+'03 - Monthly Asset Follow up'!X106-H102)</f>
        <v/>
      </c>
      <c r="AV102" s="378" t="str">
        <f>IF($C102=0,"",'03 - Monthly Asset Follow up'!BD106+'03 - Monthly Asset Follow up'!BE106-'03 - Monthly Asset Follow up'!BT106+'03 - Monthly Asset Follow up'!BW106-AA102)</f>
        <v/>
      </c>
      <c r="AX102" s="154"/>
    </row>
    <row r="103" spans="2:50" x14ac:dyDescent="0.2">
      <c r="B103" s="753" t="str">
        <f t="shared" si="14"/>
        <v/>
      </c>
      <c r="C103" s="756">
        <f>'03 - Monthly Asset Follow up'!B107</f>
        <v>0</v>
      </c>
      <c r="D103" s="149"/>
      <c r="E103" s="749" t="str">
        <f>IF($C103=0,"",SUMIFS(INPUT_DATA!AU:AU,INPUT_DATA!$A:$A,$C103,INPUT_DATA!$C:$C,"S"))</f>
        <v/>
      </c>
      <c r="F103" s="761" t="str">
        <f>IF($C103=0,"",SUMIFS(INPUT_DATA!AV:AV,INPUT_DATA!$A:$A,$C103,INPUT_DATA!$C:$C,"S"))</f>
        <v/>
      </c>
      <c r="G103" s="761" t="str">
        <f>IF($C103=0,"",SUMIFS(INPUT_DATA!AW:AW,INPUT_DATA!$A:$A,$C103,INPUT_DATA!$C:$C,"S"))</f>
        <v/>
      </c>
      <c r="H103" s="763" t="str">
        <f t="shared" si="10"/>
        <v/>
      </c>
      <c r="I103" s="761" t="str">
        <f>IF($C103=0,"",SUMIFS(INPUT_DATA!AY:AY,INPUT_DATA!$A:$A,$C103,INPUT_DATA!$C:$C,"S"))</f>
        <v/>
      </c>
      <c r="J103" s="761" t="str">
        <f>IF($C103=0,"",SUMIFS(INPUT_DATA!AZ:AZ,INPUT_DATA!$A:$A,$C103,INPUT_DATA!$C:$C,"S"))</f>
        <v/>
      </c>
      <c r="K103" s="761" t="str">
        <f>IF($C103=0,"",SUMIFS(INPUT_DATA!BA:BA,INPUT_DATA!$A:$A,$C103,INPUT_DATA!$C:$C,"S"))</f>
        <v/>
      </c>
      <c r="L103" s="761" t="str">
        <f>IF($C103=0,"",SUMIFS(INPUT_DATA!BB:BB,INPUT_DATA!$A:$A,$C103,INPUT_DATA!$C:$C,"S"))</f>
        <v/>
      </c>
      <c r="M103" s="761" t="str">
        <f>IF($C103=0,"",SUMIFS(INPUT_DATA!BC:BC,INPUT_DATA!$A:$A,$C103,INPUT_DATA!$C:$C,"S"))</f>
        <v/>
      </c>
      <c r="N103" s="761" t="str">
        <f>IF($C103=0,"",SUMIFS(INPUT_DATA!BD:BD,INPUT_DATA!$A:$A,$C103,INPUT_DATA!$C:$C,"S"))</f>
        <v/>
      </c>
      <c r="O103" s="761" t="str">
        <f>IF($C103=0,"",SUMIFS(INPUT_DATA!BE:BE,INPUT_DATA!$A:$A,$C103,INPUT_DATA!$C:$C,"S"))</f>
        <v/>
      </c>
      <c r="P103" s="761" t="str">
        <f>IF($C103=0,"",SUMIFS(INPUT_DATA!BF:BF,INPUT_DATA!$A:$A,$C103,INPUT_DATA!$C:$C,"S"))</f>
        <v/>
      </c>
      <c r="Q103" s="767" t="str">
        <f t="shared" si="15"/>
        <v/>
      </c>
      <c r="R103" s="769" t="str">
        <f>IF($C103=0,"",SUMIFS(INPUT_DATA!BH:BH,INPUT_DATA!$A:$A,$C103,INPUT_DATA!$C:$C,"S"))</f>
        <v/>
      </c>
      <c r="S103" s="769" t="str">
        <f>IF($C103=0,"",SUMIFS(INPUT_DATA!BI:BI,INPUT_DATA!$A:$A,$C103,INPUT_DATA!$C:$C,"S"))</f>
        <v/>
      </c>
      <c r="T103" s="767" t="str">
        <f t="shared" si="16"/>
        <v/>
      </c>
      <c r="U103" s="772" t="str">
        <f>IF($C103=0,"",SUMIFS(INPUT_DATA!BL:BL,INPUT_DATA!$A:$A,$C103,INPUT_DATA!$C:$C,"S"))</f>
        <v/>
      </c>
      <c r="V103" s="155" t="str">
        <f t="shared" si="11"/>
        <v/>
      </c>
      <c r="W103" s="149"/>
      <c r="X103" s="749" t="str">
        <f>IF($C103=0,"",SUMIFS(INPUT_DATA!AU:AU,INPUT_DATA!$A:$A,$C103,INPUT_DATA!$C:$C,"D"))</f>
        <v/>
      </c>
      <c r="Y103" s="761" t="str">
        <f>IF($C103=0,"",SUMIFS(INPUT_DATA!AV:AV,INPUT_DATA!$A:$A,$C103,INPUT_DATA!$C:$C,"D"))</f>
        <v/>
      </c>
      <c r="Z103" s="761" t="str">
        <f>IF($C103=0,"",SUMIFS(INPUT_DATA!AW:AW,INPUT_DATA!$A:$A,$C103,INPUT_DATA!$C:$C,"D"))</f>
        <v/>
      </c>
      <c r="AA103" s="762" t="str">
        <f t="shared" si="12"/>
        <v/>
      </c>
      <c r="AB103" s="761" t="str">
        <f>IF($C103=0,"",SUMIFS(INPUT_DATA!AX:AX,INPUT_DATA!$A:$A,$C103,INPUT_DATA!$C:$C,"D"))</f>
        <v/>
      </c>
      <c r="AC103" s="761" t="str">
        <f>IF($C103=0,"",SUMIFS(INPUT_DATA!AY:AY,INPUT_DATA!$A:$A,$C103,INPUT_DATA!$C:$C,"D"))</f>
        <v/>
      </c>
      <c r="AD103" s="761" t="str">
        <f>IF($C103=0,"",SUMIFS(INPUT_DATA!AZ:AZ,INPUT_DATA!$A:$A,$C103,INPUT_DATA!$C:$C,"D"))</f>
        <v/>
      </c>
      <c r="AE103" s="761" t="str">
        <f>IF($C103=0,"",SUMIFS(INPUT_DATA!BA:BA,INPUT_DATA!$A:$A,$C103,INPUT_DATA!$C:$C,"D"))</f>
        <v/>
      </c>
      <c r="AF103" s="761" t="str">
        <f>IF($C103=0,"",SUMIFS(INPUT_DATA!BB:BB,INPUT_DATA!$A:$A,$C103,INPUT_DATA!$C:$C,"D"))</f>
        <v/>
      </c>
      <c r="AG103" s="761" t="str">
        <f>IF($C103=0,"",SUMIFS(INPUT_DATA!BC:BC,INPUT_DATA!$A:$A,$C103,INPUT_DATA!$C:$C,"D"))</f>
        <v/>
      </c>
      <c r="AH103" s="761" t="str">
        <f>IF($C103=0,"",SUMIFS(INPUT_DATA!BD:BD,INPUT_DATA!$A:$A,$C103,INPUT_DATA!$C:$C,"D"))</f>
        <v/>
      </c>
      <c r="AI103" s="761" t="str">
        <f>IF($C103=0,"",SUMIFS(INPUT_DATA!BE:BE,INPUT_DATA!$A:$A,$C103,INPUT_DATA!$C:$C,"D"))</f>
        <v/>
      </c>
      <c r="AJ103" s="314" t="str">
        <f t="shared" si="13"/>
        <v/>
      </c>
      <c r="AK103" s="769" t="str">
        <f>IF($C103=0,"",SUMIFS(INPUT_DATA!BG:BG,INPUT_DATA!$A:$A,$C103,INPUT_DATA!$C:$C,"D"))</f>
        <v/>
      </c>
      <c r="AL103" s="769" t="str">
        <f>IF($C103=0,"",SUMIFS(INPUT_DATA!BH:BH,INPUT_DATA!$A:$A,$C103,INPUT_DATA!$C:$C,"D"))</f>
        <v/>
      </c>
      <c r="AM103" s="769" t="str">
        <f>IF($C103=0,"",SUMIFS(INPUT_DATA!BI:BI,INPUT_DATA!$A:$A,$C103,INPUT_DATA!$C:$C,"D"))</f>
        <v/>
      </c>
      <c r="AN103" s="767" t="str">
        <f t="shared" si="17"/>
        <v/>
      </c>
      <c r="AO103" s="772" t="str">
        <f>IF($C103=0,"",SUMIFS(INPUT_DATA!BK:BK,INPUT_DATA!$A:$A,$C103,INPUT_DATA!$C:$C,"D"))</f>
        <v/>
      </c>
      <c r="AP103" s="354" t="str">
        <f t="shared" si="18"/>
        <v/>
      </c>
      <c r="AQ103" s="149"/>
      <c r="AS103" s="354" t="str">
        <f t="shared" si="19"/>
        <v/>
      </c>
      <c r="AU103" s="378" t="str">
        <f>IF($C103=0,"",'03 - Monthly Asset Follow up'!E107+'03 - Monthly Asset Follow up'!F107-'03 - Monthly Asset Follow up'!U107+'03 - Monthly Asset Follow up'!X107-H103)</f>
        <v/>
      </c>
      <c r="AV103" s="378" t="str">
        <f>IF($C103=0,"",'03 - Monthly Asset Follow up'!BD107+'03 - Monthly Asset Follow up'!BE107-'03 - Monthly Asset Follow up'!BT107+'03 - Monthly Asset Follow up'!BW107-AA103)</f>
        <v/>
      </c>
      <c r="AX103" s="154"/>
    </row>
    <row r="104" spans="2:50" x14ac:dyDescent="0.2">
      <c r="B104" s="753" t="str">
        <f t="shared" si="14"/>
        <v/>
      </c>
      <c r="C104" s="756">
        <f>'03 - Monthly Asset Follow up'!B108</f>
        <v>0</v>
      </c>
      <c r="D104" s="149"/>
      <c r="E104" s="749" t="str">
        <f>IF($C104=0,"",SUMIFS(INPUT_DATA!AU:AU,INPUT_DATA!$A:$A,$C104,INPUT_DATA!$C:$C,"S"))</f>
        <v/>
      </c>
      <c r="F104" s="761" t="str">
        <f>IF($C104=0,"",SUMIFS(INPUT_DATA!AV:AV,INPUT_DATA!$A:$A,$C104,INPUT_DATA!$C:$C,"S"))</f>
        <v/>
      </c>
      <c r="G104" s="761" t="str">
        <f>IF($C104=0,"",SUMIFS(INPUT_DATA!AW:AW,INPUT_DATA!$A:$A,$C104,INPUT_DATA!$C:$C,"S"))</f>
        <v/>
      </c>
      <c r="H104" s="763" t="str">
        <f t="shared" si="10"/>
        <v/>
      </c>
      <c r="I104" s="761" t="str">
        <f>IF($C104=0,"",SUMIFS(INPUT_DATA!AY:AY,INPUT_DATA!$A:$A,$C104,INPUT_DATA!$C:$C,"S"))</f>
        <v/>
      </c>
      <c r="J104" s="761" t="str">
        <f>IF($C104=0,"",SUMIFS(INPUT_DATA!AZ:AZ,INPUT_DATA!$A:$A,$C104,INPUT_DATA!$C:$C,"S"))</f>
        <v/>
      </c>
      <c r="K104" s="761" t="str">
        <f>IF($C104=0,"",SUMIFS(INPUT_DATA!BA:BA,INPUT_DATA!$A:$A,$C104,INPUT_DATA!$C:$C,"S"))</f>
        <v/>
      </c>
      <c r="L104" s="761" t="str">
        <f>IF($C104=0,"",SUMIFS(INPUT_DATA!BB:BB,INPUT_DATA!$A:$A,$C104,INPUT_DATA!$C:$C,"S"))</f>
        <v/>
      </c>
      <c r="M104" s="761" t="str">
        <f>IF($C104=0,"",SUMIFS(INPUT_DATA!BC:BC,INPUT_DATA!$A:$A,$C104,INPUT_DATA!$C:$C,"S"))</f>
        <v/>
      </c>
      <c r="N104" s="761" t="str">
        <f>IF($C104=0,"",SUMIFS(INPUT_DATA!BD:BD,INPUT_DATA!$A:$A,$C104,INPUT_DATA!$C:$C,"S"))</f>
        <v/>
      </c>
      <c r="O104" s="761" t="str">
        <f>IF($C104=0,"",SUMIFS(INPUT_DATA!BE:BE,INPUT_DATA!$A:$A,$C104,INPUT_DATA!$C:$C,"S"))</f>
        <v/>
      </c>
      <c r="P104" s="761" t="str">
        <f>IF($C104=0,"",SUMIFS(INPUT_DATA!BF:BF,INPUT_DATA!$A:$A,$C104,INPUT_DATA!$C:$C,"S"))</f>
        <v/>
      </c>
      <c r="Q104" s="767" t="str">
        <f t="shared" si="15"/>
        <v/>
      </c>
      <c r="R104" s="769" t="str">
        <f>IF($C104=0,"",SUMIFS(INPUT_DATA!BH:BH,INPUT_DATA!$A:$A,$C104,INPUT_DATA!$C:$C,"S"))</f>
        <v/>
      </c>
      <c r="S104" s="769" t="str">
        <f>IF($C104=0,"",SUMIFS(INPUT_DATA!BI:BI,INPUT_DATA!$A:$A,$C104,INPUT_DATA!$C:$C,"S"))</f>
        <v/>
      </c>
      <c r="T104" s="767" t="str">
        <f t="shared" si="16"/>
        <v/>
      </c>
      <c r="U104" s="772" t="str">
        <f>IF($C104=0,"",SUMIFS(INPUT_DATA!BL:BL,INPUT_DATA!$A:$A,$C104,INPUT_DATA!$C:$C,"S"))</f>
        <v/>
      </c>
      <c r="V104" s="155" t="str">
        <f t="shared" si="11"/>
        <v/>
      </c>
      <c r="W104" s="149"/>
      <c r="X104" s="749" t="str">
        <f>IF($C104=0,"",SUMIFS(INPUT_DATA!AU:AU,INPUT_DATA!$A:$A,$C104,INPUT_DATA!$C:$C,"D"))</f>
        <v/>
      </c>
      <c r="Y104" s="761" t="str">
        <f>IF($C104=0,"",SUMIFS(INPUT_DATA!AV:AV,INPUT_DATA!$A:$A,$C104,INPUT_DATA!$C:$C,"D"))</f>
        <v/>
      </c>
      <c r="Z104" s="761" t="str">
        <f>IF($C104=0,"",SUMIFS(INPUT_DATA!AW:AW,INPUT_DATA!$A:$A,$C104,INPUT_DATA!$C:$C,"D"))</f>
        <v/>
      </c>
      <c r="AA104" s="762" t="str">
        <f t="shared" si="12"/>
        <v/>
      </c>
      <c r="AB104" s="761" t="str">
        <f>IF($C104=0,"",SUMIFS(INPUT_DATA!AX:AX,INPUT_DATA!$A:$A,$C104,INPUT_DATA!$C:$C,"D"))</f>
        <v/>
      </c>
      <c r="AC104" s="761" t="str">
        <f>IF($C104=0,"",SUMIFS(INPUT_DATA!AY:AY,INPUT_DATA!$A:$A,$C104,INPUT_DATA!$C:$C,"D"))</f>
        <v/>
      </c>
      <c r="AD104" s="761" t="str">
        <f>IF($C104=0,"",SUMIFS(INPUT_DATA!AZ:AZ,INPUT_DATA!$A:$A,$C104,INPUT_DATA!$C:$C,"D"))</f>
        <v/>
      </c>
      <c r="AE104" s="761" t="str">
        <f>IF($C104=0,"",SUMIFS(INPUT_DATA!BA:BA,INPUT_DATA!$A:$A,$C104,INPUT_DATA!$C:$C,"D"))</f>
        <v/>
      </c>
      <c r="AF104" s="761" t="str">
        <f>IF($C104=0,"",SUMIFS(INPUT_DATA!BB:BB,INPUT_DATA!$A:$A,$C104,INPUT_DATA!$C:$C,"D"))</f>
        <v/>
      </c>
      <c r="AG104" s="761" t="str">
        <f>IF($C104=0,"",SUMIFS(INPUT_DATA!BC:BC,INPUT_DATA!$A:$A,$C104,INPUT_DATA!$C:$C,"D"))</f>
        <v/>
      </c>
      <c r="AH104" s="761" t="str">
        <f>IF($C104=0,"",SUMIFS(INPUT_DATA!BD:BD,INPUT_DATA!$A:$A,$C104,INPUT_DATA!$C:$C,"D"))</f>
        <v/>
      </c>
      <c r="AI104" s="761" t="str">
        <f>IF($C104=0,"",SUMIFS(INPUT_DATA!BE:BE,INPUT_DATA!$A:$A,$C104,INPUT_DATA!$C:$C,"D"))</f>
        <v/>
      </c>
      <c r="AJ104" s="314" t="str">
        <f t="shared" si="13"/>
        <v/>
      </c>
      <c r="AK104" s="769" t="str">
        <f>IF($C104=0,"",SUMIFS(INPUT_DATA!BG:BG,INPUT_DATA!$A:$A,$C104,INPUT_DATA!$C:$C,"D"))</f>
        <v/>
      </c>
      <c r="AL104" s="769" t="str">
        <f>IF($C104=0,"",SUMIFS(INPUT_DATA!BH:BH,INPUT_DATA!$A:$A,$C104,INPUT_DATA!$C:$C,"D"))</f>
        <v/>
      </c>
      <c r="AM104" s="769" t="str">
        <f>IF($C104=0,"",SUMIFS(INPUT_DATA!BI:BI,INPUT_DATA!$A:$A,$C104,INPUT_DATA!$C:$C,"D"))</f>
        <v/>
      </c>
      <c r="AN104" s="767" t="str">
        <f t="shared" si="17"/>
        <v/>
      </c>
      <c r="AO104" s="772" t="str">
        <f>IF($C104=0,"",SUMIFS(INPUT_DATA!BK:BK,INPUT_DATA!$A:$A,$C104,INPUT_DATA!$C:$C,"D"))</f>
        <v/>
      </c>
      <c r="AP104" s="354" t="str">
        <f t="shared" si="18"/>
        <v/>
      </c>
      <c r="AQ104" s="149"/>
      <c r="AS104" s="354" t="str">
        <f t="shared" si="19"/>
        <v/>
      </c>
      <c r="AU104" s="378" t="str">
        <f>IF($C104=0,"",'03 - Monthly Asset Follow up'!E108+'03 - Monthly Asset Follow up'!F108-'03 - Monthly Asset Follow up'!U108+'03 - Monthly Asset Follow up'!X108-H104)</f>
        <v/>
      </c>
      <c r="AV104" s="378" t="str">
        <f>IF($C104=0,"",'03 - Monthly Asset Follow up'!BD108+'03 - Monthly Asset Follow up'!BE108-'03 - Monthly Asset Follow up'!BT108+'03 - Monthly Asset Follow up'!BW108-AA104)</f>
        <v/>
      </c>
      <c r="AX104" s="154"/>
    </row>
    <row r="105" spans="2:50" x14ac:dyDescent="0.2">
      <c r="B105" s="753" t="str">
        <f t="shared" si="14"/>
        <v/>
      </c>
      <c r="C105" s="756">
        <f>'03 - Monthly Asset Follow up'!B109</f>
        <v>0</v>
      </c>
      <c r="D105" s="149"/>
      <c r="E105" s="749" t="str">
        <f>IF($C105=0,"",SUMIFS(INPUT_DATA!AU:AU,INPUT_DATA!$A:$A,$C105,INPUT_DATA!$C:$C,"S"))</f>
        <v/>
      </c>
      <c r="F105" s="761" t="str">
        <f>IF($C105=0,"",SUMIFS(INPUT_DATA!AV:AV,INPUT_DATA!$A:$A,$C105,INPUT_DATA!$C:$C,"S"))</f>
        <v/>
      </c>
      <c r="G105" s="761" t="str">
        <f>IF($C105=0,"",SUMIFS(INPUT_DATA!AW:AW,INPUT_DATA!$A:$A,$C105,INPUT_DATA!$C:$C,"S"))</f>
        <v/>
      </c>
      <c r="H105" s="763" t="str">
        <f t="shared" si="10"/>
        <v/>
      </c>
      <c r="I105" s="761" t="str">
        <f>IF($C105=0,"",SUMIFS(INPUT_DATA!AY:AY,INPUT_DATA!$A:$A,$C105,INPUT_DATA!$C:$C,"S"))</f>
        <v/>
      </c>
      <c r="J105" s="761" t="str">
        <f>IF($C105=0,"",SUMIFS(INPUT_DATA!AZ:AZ,INPUT_DATA!$A:$A,$C105,INPUT_DATA!$C:$C,"S"))</f>
        <v/>
      </c>
      <c r="K105" s="761" t="str">
        <f>IF($C105=0,"",SUMIFS(INPUT_DATA!BA:BA,INPUT_DATA!$A:$A,$C105,INPUT_DATA!$C:$C,"S"))</f>
        <v/>
      </c>
      <c r="L105" s="761" t="str">
        <f>IF($C105=0,"",SUMIFS(INPUT_DATA!BB:BB,INPUT_DATA!$A:$A,$C105,INPUT_DATA!$C:$C,"S"))</f>
        <v/>
      </c>
      <c r="M105" s="761" t="str">
        <f>IF($C105=0,"",SUMIFS(INPUT_DATA!BC:BC,INPUT_DATA!$A:$A,$C105,INPUT_DATA!$C:$C,"S"))</f>
        <v/>
      </c>
      <c r="N105" s="761" t="str">
        <f>IF($C105=0,"",SUMIFS(INPUT_DATA!BD:BD,INPUT_DATA!$A:$A,$C105,INPUT_DATA!$C:$C,"S"))</f>
        <v/>
      </c>
      <c r="O105" s="761" t="str">
        <f>IF($C105=0,"",SUMIFS(INPUT_DATA!BE:BE,INPUT_DATA!$A:$A,$C105,INPUT_DATA!$C:$C,"S"))</f>
        <v/>
      </c>
      <c r="P105" s="761" t="str">
        <f>IF($C105=0,"",SUMIFS(INPUT_DATA!BF:BF,INPUT_DATA!$A:$A,$C105,INPUT_DATA!$C:$C,"S"))</f>
        <v/>
      </c>
      <c r="Q105" s="767" t="str">
        <f t="shared" si="15"/>
        <v/>
      </c>
      <c r="R105" s="769" t="str">
        <f>IF($C105=0,"",SUMIFS(INPUT_DATA!BH:BH,INPUT_DATA!$A:$A,$C105,INPUT_DATA!$C:$C,"S"))</f>
        <v/>
      </c>
      <c r="S105" s="769" t="str">
        <f>IF($C105=0,"",SUMIFS(INPUT_DATA!BI:BI,INPUT_DATA!$A:$A,$C105,INPUT_DATA!$C:$C,"S"))</f>
        <v/>
      </c>
      <c r="T105" s="767" t="str">
        <f t="shared" si="16"/>
        <v/>
      </c>
      <c r="U105" s="772" t="str">
        <f>IF($C105=0,"",SUMIFS(INPUT_DATA!BL:BL,INPUT_DATA!$A:$A,$C105,INPUT_DATA!$C:$C,"S"))</f>
        <v/>
      </c>
      <c r="V105" s="155" t="str">
        <f t="shared" si="11"/>
        <v/>
      </c>
      <c r="W105" s="149"/>
      <c r="X105" s="749" t="str">
        <f>IF($C105=0,"",SUMIFS(INPUT_DATA!AU:AU,INPUT_DATA!$A:$A,$C105,INPUT_DATA!$C:$C,"D"))</f>
        <v/>
      </c>
      <c r="Y105" s="761" t="str">
        <f>IF($C105=0,"",SUMIFS(INPUT_DATA!AV:AV,INPUT_DATA!$A:$A,$C105,INPUT_DATA!$C:$C,"D"))</f>
        <v/>
      </c>
      <c r="Z105" s="761" t="str">
        <f>IF($C105=0,"",SUMIFS(INPUT_DATA!AW:AW,INPUT_DATA!$A:$A,$C105,INPUT_DATA!$C:$C,"D"))</f>
        <v/>
      </c>
      <c r="AA105" s="762" t="str">
        <f t="shared" si="12"/>
        <v/>
      </c>
      <c r="AB105" s="761" t="str">
        <f>IF($C105=0,"",SUMIFS(INPUT_DATA!AX:AX,INPUT_DATA!$A:$A,$C105,INPUT_DATA!$C:$C,"D"))</f>
        <v/>
      </c>
      <c r="AC105" s="761" t="str">
        <f>IF($C105=0,"",SUMIFS(INPUT_DATA!AY:AY,INPUT_DATA!$A:$A,$C105,INPUT_DATA!$C:$C,"D"))</f>
        <v/>
      </c>
      <c r="AD105" s="761" t="str">
        <f>IF($C105=0,"",SUMIFS(INPUT_DATA!AZ:AZ,INPUT_DATA!$A:$A,$C105,INPUT_DATA!$C:$C,"D"))</f>
        <v/>
      </c>
      <c r="AE105" s="761" t="str">
        <f>IF($C105=0,"",SUMIFS(INPUT_DATA!BA:BA,INPUT_DATA!$A:$A,$C105,INPUT_DATA!$C:$C,"D"))</f>
        <v/>
      </c>
      <c r="AF105" s="761" t="str">
        <f>IF($C105=0,"",SUMIFS(INPUT_DATA!BB:BB,INPUT_DATA!$A:$A,$C105,INPUT_DATA!$C:$C,"D"))</f>
        <v/>
      </c>
      <c r="AG105" s="761" t="str">
        <f>IF($C105=0,"",SUMIFS(INPUT_DATA!BC:BC,INPUT_DATA!$A:$A,$C105,INPUT_DATA!$C:$C,"D"))</f>
        <v/>
      </c>
      <c r="AH105" s="761" t="str">
        <f>IF($C105=0,"",SUMIFS(INPUT_DATA!BD:BD,INPUT_DATA!$A:$A,$C105,INPUT_DATA!$C:$C,"D"))</f>
        <v/>
      </c>
      <c r="AI105" s="761" t="str">
        <f>IF($C105=0,"",SUMIFS(INPUT_DATA!BE:BE,INPUT_DATA!$A:$A,$C105,INPUT_DATA!$C:$C,"D"))</f>
        <v/>
      </c>
      <c r="AJ105" s="314" t="str">
        <f t="shared" si="13"/>
        <v/>
      </c>
      <c r="AK105" s="769" t="str">
        <f>IF($C105=0,"",SUMIFS(INPUT_DATA!BG:BG,INPUT_DATA!$A:$A,$C105,INPUT_DATA!$C:$C,"D"))</f>
        <v/>
      </c>
      <c r="AL105" s="769" t="str">
        <f>IF($C105=0,"",SUMIFS(INPUT_DATA!BH:BH,INPUT_DATA!$A:$A,$C105,INPUT_DATA!$C:$C,"D"))</f>
        <v/>
      </c>
      <c r="AM105" s="769" t="str">
        <f>IF($C105=0,"",SUMIFS(INPUT_DATA!BI:BI,INPUT_DATA!$A:$A,$C105,INPUT_DATA!$C:$C,"D"))</f>
        <v/>
      </c>
      <c r="AN105" s="767" t="str">
        <f t="shared" si="17"/>
        <v/>
      </c>
      <c r="AO105" s="772" t="str">
        <f>IF($C105=0,"",SUMIFS(INPUT_DATA!BK:BK,INPUT_DATA!$A:$A,$C105,INPUT_DATA!$C:$C,"D"))</f>
        <v/>
      </c>
      <c r="AP105" s="354" t="str">
        <f t="shared" si="18"/>
        <v/>
      </c>
      <c r="AQ105" s="149"/>
      <c r="AS105" s="354" t="str">
        <f t="shared" si="19"/>
        <v/>
      </c>
      <c r="AU105" s="378" t="str">
        <f>IF($C105=0,"",'03 - Monthly Asset Follow up'!E109+'03 - Monthly Asset Follow up'!F109-'03 - Monthly Asset Follow up'!U109+'03 - Monthly Asset Follow up'!X109-H105)</f>
        <v/>
      </c>
      <c r="AV105" s="378" t="str">
        <f>IF($C105=0,"",'03 - Monthly Asset Follow up'!BD109+'03 - Monthly Asset Follow up'!BE109-'03 - Monthly Asset Follow up'!BT109+'03 - Monthly Asset Follow up'!BW109-AA105)</f>
        <v/>
      </c>
      <c r="AX105" s="154"/>
    </row>
    <row r="106" spans="2:50" x14ac:dyDescent="0.2">
      <c r="B106" s="753" t="str">
        <f t="shared" si="14"/>
        <v/>
      </c>
      <c r="C106" s="756">
        <f>'03 - Monthly Asset Follow up'!B110</f>
        <v>0</v>
      </c>
      <c r="D106" s="149"/>
      <c r="E106" s="749" t="str">
        <f>IF($C106=0,"",SUMIFS(INPUT_DATA!AU:AU,INPUT_DATA!$A:$A,$C106,INPUT_DATA!$C:$C,"S"))</f>
        <v/>
      </c>
      <c r="F106" s="761" t="str">
        <f>IF($C106=0,"",SUMIFS(INPUT_DATA!AV:AV,INPUT_DATA!$A:$A,$C106,INPUT_DATA!$C:$C,"S"))</f>
        <v/>
      </c>
      <c r="G106" s="761" t="str">
        <f>IF($C106=0,"",SUMIFS(INPUT_DATA!AW:AW,INPUT_DATA!$A:$A,$C106,INPUT_DATA!$C:$C,"S"))</f>
        <v/>
      </c>
      <c r="H106" s="763" t="str">
        <f t="shared" si="10"/>
        <v/>
      </c>
      <c r="I106" s="761" t="str">
        <f>IF($C106=0,"",SUMIFS(INPUT_DATA!AY:AY,INPUT_DATA!$A:$A,$C106,INPUT_DATA!$C:$C,"S"))</f>
        <v/>
      </c>
      <c r="J106" s="761" t="str">
        <f>IF($C106=0,"",SUMIFS(INPUT_DATA!AZ:AZ,INPUT_DATA!$A:$A,$C106,INPUT_DATA!$C:$C,"S"))</f>
        <v/>
      </c>
      <c r="K106" s="761" t="str">
        <f>IF($C106=0,"",SUMIFS(INPUT_DATA!BA:BA,INPUT_DATA!$A:$A,$C106,INPUT_DATA!$C:$C,"S"))</f>
        <v/>
      </c>
      <c r="L106" s="761" t="str">
        <f>IF($C106=0,"",SUMIFS(INPUT_DATA!BB:BB,INPUT_DATA!$A:$A,$C106,INPUT_DATA!$C:$C,"S"))</f>
        <v/>
      </c>
      <c r="M106" s="761" t="str">
        <f>IF($C106=0,"",SUMIFS(INPUT_DATA!BC:BC,INPUT_DATA!$A:$A,$C106,INPUT_DATA!$C:$C,"S"))</f>
        <v/>
      </c>
      <c r="N106" s="761" t="str">
        <f>IF($C106=0,"",SUMIFS(INPUT_DATA!BD:BD,INPUT_DATA!$A:$A,$C106,INPUT_DATA!$C:$C,"S"))</f>
        <v/>
      </c>
      <c r="O106" s="761" t="str">
        <f>IF($C106=0,"",SUMIFS(INPUT_DATA!BE:BE,INPUT_DATA!$A:$A,$C106,INPUT_DATA!$C:$C,"S"))</f>
        <v/>
      </c>
      <c r="P106" s="761" t="str">
        <f>IF($C106=0,"",SUMIFS(INPUT_DATA!BF:BF,INPUT_DATA!$A:$A,$C106,INPUT_DATA!$C:$C,"S"))</f>
        <v/>
      </c>
      <c r="Q106" s="767" t="str">
        <f t="shared" si="15"/>
        <v/>
      </c>
      <c r="R106" s="769" t="str">
        <f>IF($C106=0,"",SUMIFS(INPUT_DATA!BH:BH,INPUT_DATA!$A:$A,$C106,INPUT_DATA!$C:$C,"S"))</f>
        <v/>
      </c>
      <c r="S106" s="769" t="str">
        <f>IF($C106=0,"",SUMIFS(INPUT_DATA!BI:BI,INPUT_DATA!$A:$A,$C106,INPUT_DATA!$C:$C,"S"))</f>
        <v/>
      </c>
      <c r="T106" s="767" t="str">
        <f t="shared" si="16"/>
        <v/>
      </c>
      <c r="U106" s="772" t="str">
        <f>IF($C106=0,"",SUMIFS(INPUT_DATA!BL:BL,INPUT_DATA!$A:$A,$C106,INPUT_DATA!$C:$C,"S"))</f>
        <v/>
      </c>
      <c r="V106" s="155" t="str">
        <f t="shared" si="11"/>
        <v/>
      </c>
      <c r="W106" s="149"/>
      <c r="X106" s="749" t="str">
        <f>IF($C106=0,"",SUMIFS(INPUT_DATA!AU:AU,INPUT_DATA!$A:$A,$C106,INPUT_DATA!$C:$C,"D"))</f>
        <v/>
      </c>
      <c r="Y106" s="761" t="str">
        <f>IF($C106=0,"",SUMIFS(INPUT_DATA!AV:AV,INPUT_DATA!$A:$A,$C106,INPUT_DATA!$C:$C,"D"))</f>
        <v/>
      </c>
      <c r="Z106" s="761" t="str">
        <f>IF($C106=0,"",SUMIFS(INPUT_DATA!AW:AW,INPUT_DATA!$A:$A,$C106,INPUT_DATA!$C:$C,"D"))</f>
        <v/>
      </c>
      <c r="AA106" s="762" t="str">
        <f t="shared" si="12"/>
        <v/>
      </c>
      <c r="AB106" s="761" t="str">
        <f>IF($C106=0,"",SUMIFS(INPUT_DATA!AX:AX,INPUT_DATA!$A:$A,$C106,INPUT_DATA!$C:$C,"D"))</f>
        <v/>
      </c>
      <c r="AC106" s="761" t="str">
        <f>IF($C106=0,"",SUMIFS(INPUT_DATA!AY:AY,INPUT_DATA!$A:$A,$C106,INPUT_DATA!$C:$C,"D"))</f>
        <v/>
      </c>
      <c r="AD106" s="761" t="str">
        <f>IF($C106=0,"",SUMIFS(INPUT_DATA!AZ:AZ,INPUT_DATA!$A:$A,$C106,INPUT_DATA!$C:$C,"D"))</f>
        <v/>
      </c>
      <c r="AE106" s="761" t="str">
        <f>IF($C106=0,"",SUMIFS(INPUT_DATA!BA:BA,INPUT_DATA!$A:$A,$C106,INPUT_DATA!$C:$C,"D"))</f>
        <v/>
      </c>
      <c r="AF106" s="761" t="str">
        <f>IF($C106=0,"",SUMIFS(INPUT_DATA!BB:BB,INPUT_DATA!$A:$A,$C106,INPUT_DATA!$C:$C,"D"))</f>
        <v/>
      </c>
      <c r="AG106" s="761" t="str">
        <f>IF($C106=0,"",SUMIFS(INPUT_DATA!BC:BC,INPUT_DATA!$A:$A,$C106,INPUT_DATA!$C:$C,"D"))</f>
        <v/>
      </c>
      <c r="AH106" s="761" t="str">
        <f>IF($C106=0,"",SUMIFS(INPUT_DATA!BD:BD,INPUT_DATA!$A:$A,$C106,INPUT_DATA!$C:$C,"D"))</f>
        <v/>
      </c>
      <c r="AI106" s="761" t="str">
        <f>IF($C106=0,"",SUMIFS(INPUT_DATA!BE:BE,INPUT_DATA!$A:$A,$C106,INPUT_DATA!$C:$C,"D"))</f>
        <v/>
      </c>
      <c r="AJ106" s="314" t="str">
        <f t="shared" si="13"/>
        <v/>
      </c>
      <c r="AK106" s="769" t="str">
        <f>IF($C106=0,"",SUMIFS(INPUT_DATA!BG:BG,INPUT_DATA!$A:$A,$C106,INPUT_DATA!$C:$C,"D"))</f>
        <v/>
      </c>
      <c r="AL106" s="769" t="str">
        <f>IF($C106=0,"",SUMIFS(INPUT_DATA!BH:BH,INPUT_DATA!$A:$A,$C106,INPUT_DATA!$C:$C,"D"))</f>
        <v/>
      </c>
      <c r="AM106" s="769" t="str">
        <f>IF($C106=0,"",SUMIFS(INPUT_DATA!BI:BI,INPUT_DATA!$A:$A,$C106,INPUT_DATA!$C:$C,"D"))</f>
        <v/>
      </c>
      <c r="AN106" s="767" t="str">
        <f t="shared" si="17"/>
        <v/>
      </c>
      <c r="AO106" s="772" t="str">
        <f>IF($C106=0,"",SUMIFS(INPUT_DATA!BK:BK,INPUT_DATA!$A:$A,$C106,INPUT_DATA!$C:$C,"D"))</f>
        <v/>
      </c>
      <c r="AP106" s="354" t="str">
        <f t="shared" si="18"/>
        <v/>
      </c>
      <c r="AQ106" s="149"/>
      <c r="AS106" s="354" t="str">
        <f t="shared" si="19"/>
        <v/>
      </c>
      <c r="AU106" s="378" t="str">
        <f>IF($C106=0,"",'03 - Monthly Asset Follow up'!E110+'03 - Monthly Asset Follow up'!F110-'03 - Monthly Asset Follow up'!U110+'03 - Monthly Asset Follow up'!X110-H106)</f>
        <v/>
      </c>
      <c r="AV106" s="378" t="str">
        <f>IF($C106=0,"",'03 - Monthly Asset Follow up'!BD110+'03 - Monthly Asset Follow up'!BE110-'03 - Monthly Asset Follow up'!BT110+'03 - Monthly Asset Follow up'!BW110-AA106)</f>
        <v/>
      </c>
      <c r="AX106" s="154"/>
    </row>
    <row r="107" spans="2:50" x14ac:dyDescent="0.2">
      <c r="B107" s="753" t="str">
        <f t="shared" si="14"/>
        <v/>
      </c>
      <c r="C107" s="756">
        <f>'03 - Monthly Asset Follow up'!B111</f>
        <v>0</v>
      </c>
      <c r="D107" s="149"/>
      <c r="E107" s="749" t="str">
        <f>IF($C107=0,"",SUMIFS(INPUT_DATA!AU:AU,INPUT_DATA!$A:$A,$C107,INPUT_DATA!$C:$C,"S"))</f>
        <v/>
      </c>
      <c r="F107" s="761" t="str">
        <f>IF($C107=0,"",SUMIFS(INPUT_DATA!AV:AV,INPUT_DATA!$A:$A,$C107,INPUT_DATA!$C:$C,"S"))</f>
        <v/>
      </c>
      <c r="G107" s="761" t="str">
        <f>IF($C107=0,"",SUMIFS(INPUT_DATA!AW:AW,INPUT_DATA!$A:$A,$C107,INPUT_DATA!$C:$C,"S"))</f>
        <v/>
      </c>
      <c r="H107" s="763" t="str">
        <f t="shared" si="10"/>
        <v/>
      </c>
      <c r="I107" s="761" t="str">
        <f>IF($C107=0,"",SUMIFS(INPUT_DATA!AY:AY,INPUT_DATA!$A:$A,$C107,INPUT_DATA!$C:$C,"S"))</f>
        <v/>
      </c>
      <c r="J107" s="761" t="str">
        <f>IF($C107=0,"",SUMIFS(INPUT_DATA!AZ:AZ,INPUT_DATA!$A:$A,$C107,INPUT_DATA!$C:$C,"S"))</f>
        <v/>
      </c>
      <c r="K107" s="761" t="str">
        <f>IF($C107=0,"",SUMIFS(INPUT_DATA!BA:BA,INPUT_DATA!$A:$A,$C107,INPUT_DATA!$C:$C,"S"))</f>
        <v/>
      </c>
      <c r="L107" s="761" t="str">
        <f>IF($C107=0,"",SUMIFS(INPUT_DATA!BB:BB,INPUT_DATA!$A:$A,$C107,INPUT_DATA!$C:$C,"S"))</f>
        <v/>
      </c>
      <c r="M107" s="761" t="str">
        <f>IF($C107=0,"",SUMIFS(INPUT_DATA!BC:BC,INPUT_DATA!$A:$A,$C107,INPUT_DATA!$C:$C,"S"))</f>
        <v/>
      </c>
      <c r="N107" s="761" t="str">
        <f>IF($C107=0,"",SUMIFS(INPUT_DATA!BD:BD,INPUT_DATA!$A:$A,$C107,INPUT_DATA!$C:$C,"S"))</f>
        <v/>
      </c>
      <c r="O107" s="761" t="str">
        <f>IF($C107=0,"",SUMIFS(INPUT_DATA!BE:BE,INPUT_DATA!$A:$A,$C107,INPUT_DATA!$C:$C,"S"))</f>
        <v/>
      </c>
      <c r="P107" s="761" t="str">
        <f>IF($C107=0,"",SUMIFS(INPUT_DATA!BF:BF,INPUT_DATA!$A:$A,$C107,INPUT_DATA!$C:$C,"S"))</f>
        <v/>
      </c>
      <c r="Q107" s="767" t="str">
        <f t="shared" si="15"/>
        <v/>
      </c>
      <c r="R107" s="769" t="str">
        <f>IF($C107=0,"",SUMIFS(INPUT_DATA!BH:BH,INPUT_DATA!$A:$A,$C107,INPUT_DATA!$C:$C,"S"))</f>
        <v/>
      </c>
      <c r="S107" s="769" t="str">
        <f>IF($C107=0,"",SUMIFS(INPUT_DATA!BI:BI,INPUT_DATA!$A:$A,$C107,INPUT_DATA!$C:$C,"S"))</f>
        <v/>
      </c>
      <c r="T107" s="767" t="str">
        <f t="shared" si="16"/>
        <v/>
      </c>
      <c r="U107" s="772" t="str">
        <f>IF($C107=0,"",SUMIFS(INPUT_DATA!BL:BL,INPUT_DATA!$A:$A,$C107,INPUT_DATA!$C:$C,"S"))</f>
        <v/>
      </c>
      <c r="V107" s="155" t="str">
        <f t="shared" si="11"/>
        <v/>
      </c>
      <c r="W107" s="149"/>
      <c r="X107" s="749" t="str">
        <f>IF($C107=0,"",SUMIFS(INPUT_DATA!AU:AU,INPUT_DATA!$A:$A,$C107,INPUT_DATA!$C:$C,"D"))</f>
        <v/>
      </c>
      <c r="Y107" s="761" t="str">
        <f>IF($C107=0,"",SUMIFS(INPUT_DATA!AV:AV,INPUT_DATA!$A:$A,$C107,INPUT_DATA!$C:$C,"D"))</f>
        <v/>
      </c>
      <c r="Z107" s="761" t="str">
        <f>IF($C107=0,"",SUMIFS(INPUT_DATA!AW:AW,INPUT_DATA!$A:$A,$C107,INPUT_DATA!$C:$C,"D"))</f>
        <v/>
      </c>
      <c r="AA107" s="762" t="str">
        <f t="shared" si="12"/>
        <v/>
      </c>
      <c r="AB107" s="761" t="str">
        <f>IF($C107=0,"",SUMIFS(INPUT_DATA!AX:AX,INPUT_DATA!$A:$A,$C107,INPUT_DATA!$C:$C,"D"))</f>
        <v/>
      </c>
      <c r="AC107" s="761" t="str">
        <f>IF($C107=0,"",SUMIFS(INPUT_DATA!AY:AY,INPUT_DATA!$A:$A,$C107,INPUT_DATA!$C:$C,"D"))</f>
        <v/>
      </c>
      <c r="AD107" s="761" t="str">
        <f>IF($C107=0,"",SUMIFS(INPUT_DATA!AZ:AZ,INPUT_DATA!$A:$A,$C107,INPUT_DATA!$C:$C,"D"))</f>
        <v/>
      </c>
      <c r="AE107" s="761" t="str">
        <f>IF($C107=0,"",SUMIFS(INPUT_DATA!BA:BA,INPUT_DATA!$A:$A,$C107,INPUT_DATA!$C:$C,"D"))</f>
        <v/>
      </c>
      <c r="AF107" s="761" t="str">
        <f>IF($C107=0,"",SUMIFS(INPUT_DATA!BB:BB,INPUT_DATA!$A:$A,$C107,INPUT_DATA!$C:$C,"D"))</f>
        <v/>
      </c>
      <c r="AG107" s="761" t="str">
        <f>IF($C107=0,"",SUMIFS(INPUT_DATA!BC:BC,INPUT_DATA!$A:$A,$C107,INPUT_DATA!$C:$C,"D"))</f>
        <v/>
      </c>
      <c r="AH107" s="761" t="str">
        <f>IF($C107=0,"",SUMIFS(INPUT_DATA!BD:BD,INPUT_DATA!$A:$A,$C107,INPUT_DATA!$C:$C,"D"))</f>
        <v/>
      </c>
      <c r="AI107" s="761" t="str">
        <f>IF($C107=0,"",SUMIFS(INPUT_DATA!BE:BE,INPUT_DATA!$A:$A,$C107,INPUT_DATA!$C:$C,"D"))</f>
        <v/>
      </c>
      <c r="AJ107" s="314" t="str">
        <f t="shared" si="13"/>
        <v/>
      </c>
      <c r="AK107" s="769" t="str">
        <f>IF($C107=0,"",SUMIFS(INPUT_DATA!BG:BG,INPUT_DATA!$A:$A,$C107,INPUT_DATA!$C:$C,"D"))</f>
        <v/>
      </c>
      <c r="AL107" s="769" t="str">
        <f>IF($C107=0,"",SUMIFS(INPUT_DATA!BH:BH,INPUT_DATA!$A:$A,$C107,INPUT_DATA!$C:$C,"D"))</f>
        <v/>
      </c>
      <c r="AM107" s="769" t="str">
        <f>IF($C107=0,"",SUMIFS(INPUT_DATA!BI:BI,INPUT_DATA!$A:$A,$C107,INPUT_DATA!$C:$C,"D"))</f>
        <v/>
      </c>
      <c r="AN107" s="767" t="str">
        <f t="shared" si="17"/>
        <v/>
      </c>
      <c r="AO107" s="772" t="str">
        <f>IF($C107=0,"",SUMIFS(INPUT_DATA!BK:BK,INPUT_DATA!$A:$A,$C107,INPUT_DATA!$C:$C,"D"))</f>
        <v/>
      </c>
      <c r="AP107" s="354" t="str">
        <f t="shared" si="18"/>
        <v/>
      </c>
      <c r="AQ107" s="149"/>
      <c r="AS107" s="354" t="str">
        <f t="shared" si="19"/>
        <v/>
      </c>
      <c r="AU107" s="378" t="str">
        <f>IF($C107=0,"",'03 - Monthly Asset Follow up'!E111+'03 - Monthly Asset Follow up'!F111-'03 - Monthly Asset Follow up'!U111+'03 - Monthly Asset Follow up'!X111-H107)</f>
        <v/>
      </c>
      <c r="AV107" s="378" t="str">
        <f>IF($C107=0,"",'03 - Monthly Asset Follow up'!BD111+'03 - Monthly Asset Follow up'!BE111-'03 - Monthly Asset Follow up'!BT111+'03 - Monthly Asset Follow up'!BW111-AA107)</f>
        <v/>
      </c>
      <c r="AX107" s="154"/>
    </row>
    <row r="108" spans="2:50" x14ac:dyDescent="0.2">
      <c r="B108" s="753" t="str">
        <f t="shared" si="14"/>
        <v/>
      </c>
      <c r="C108" s="756">
        <f>'03 - Monthly Asset Follow up'!B112</f>
        <v>0</v>
      </c>
      <c r="D108" s="149"/>
      <c r="E108" s="749" t="str">
        <f>IF($C108=0,"",SUMIFS(INPUT_DATA!AU:AU,INPUT_DATA!$A:$A,$C108,INPUT_DATA!$C:$C,"S"))</f>
        <v/>
      </c>
      <c r="F108" s="761" t="str">
        <f>IF($C108=0,"",SUMIFS(INPUT_DATA!AV:AV,INPUT_DATA!$A:$A,$C108,INPUT_DATA!$C:$C,"S"))</f>
        <v/>
      </c>
      <c r="G108" s="761" t="str">
        <f>IF($C108=0,"",SUMIFS(INPUT_DATA!AW:AW,INPUT_DATA!$A:$A,$C108,INPUT_DATA!$C:$C,"S"))</f>
        <v/>
      </c>
      <c r="H108" s="763" t="str">
        <f t="shared" si="10"/>
        <v/>
      </c>
      <c r="I108" s="761" t="str">
        <f>IF($C108=0,"",SUMIFS(INPUT_DATA!AY:AY,INPUT_DATA!$A:$A,$C108,INPUT_DATA!$C:$C,"S"))</f>
        <v/>
      </c>
      <c r="J108" s="761" t="str">
        <f>IF($C108=0,"",SUMIFS(INPUT_DATA!AZ:AZ,INPUT_DATA!$A:$A,$C108,INPUT_DATA!$C:$C,"S"))</f>
        <v/>
      </c>
      <c r="K108" s="761" t="str">
        <f>IF($C108=0,"",SUMIFS(INPUT_DATA!BA:BA,INPUT_DATA!$A:$A,$C108,INPUT_DATA!$C:$C,"S"))</f>
        <v/>
      </c>
      <c r="L108" s="761" t="str">
        <f>IF($C108=0,"",SUMIFS(INPUT_DATA!BB:BB,INPUT_DATA!$A:$A,$C108,INPUT_DATA!$C:$C,"S"))</f>
        <v/>
      </c>
      <c r="M108" s="761" t="str">
        <f>IF($C108=0,"",SUMIFS(INPUT_DATA!BC:BC,INPUT_DATA!$A:$A,$C108,INPUT_DATA!$C:$C,"S"))</f>
        <v/>
      </c>
      <c r="N108" s="761" t="str">
        <f>IF($C108=0,"",SUMIFS(INPUT_DATA!BD:BD,INPUT_DATA!$A:$A,$C108,INPUT_DATA!$C:$C,"S"))</f>
        <v/>
      </c>
      <c r="O108" s="761" t="str">
        <f>IF($C108=0,"",SUMIFS(INPUT_DATA!BE:BE,INPUT_DATA!$A:$A,$C108,INPUT_DATA!$C:$C,"S"))</f>
        <v/>
      </c>
      <c r="P108" s="761" t="str">
        <f>IF($C108=0,"",SUMIFS(INPUT_DATA!BF:BF,INPUT_DATA!$A:$A,$C108,INPUT_DATA!$C:$C,"S"))</f>
        <v/>
      </c>
      <c r="Q108" s="767" t="str">
        <f t="shared" si="15"/>
        <v/>
      </c>
      <c r="R108" s="769" t="str">
        <f>IF($C108=0,"",SUMIFS(INPUT_DATA!BH:BH,INPUT_DATA!$A:$A,$C108,INPUT_DATA!$C:$C,"S"))</f>
        <v/>
      </c>
      <c r="S108" s="769" t="str">
        <f>IF($C108=0,"",SUMIFS(INPUT_DATA!BI:BI,INPUT_DATA!$A:$A,$C108,INPUT_DATA!$C:$C,"S"))</f>
        <v/>
      </c>
      <c r="T108" s="767" t="str">
        <f t="shared" si="16"/>
        <v/>
      </c>
      <c r="U108" s="772" t="str">
        <f>IF($C108=0,"",SUMIFS(INPUT_DATA!BL:BL,INPUT_DATA!$A:$A,$C108,INPUT_DATA!$C:$C,"S"))</f>
        <v/>
      </c>
      <c r="V108" s="155" t="str">
        <f t="shared" si="11"/>
        <v/>
      </c>
      <c r="W108" s="149"/>
      <c r="X108" s="749" t="str">
        <f>IF($C108=0,"",SUMIFS(INPUT_DATA!AU:AU,INPUT_DATA!$A:$A,$C108,INPUT_DATA!$C:$C,"D"))</f>
        <v/>
      </c>
      <c r="Y108" s="761" t="str">
        <f>IF($C108=0,"",SUMIFS(INPUT_DATA!AV:AV,INPUT_DATA!$A:$A,$C108,INPUT_DATA!$C:$C,"D"))</f>
        <v/>
      </c>
      <c r="Z108" s="761" t="str">
        <f>IF($C108=0,"",SUMIFS(INPUT_DATA!AW:AW,INPUT_DATA!$A:$A,$C108,INPUT_DATA!$C:$C,"D"))</f>
        <v/>
      </c>
      <c r="AA108" s="762" t="str">
        <f t="shared" si="12"/>
        <v/>
      </c>
      <c r="AB108" s="761" t="str">
        <f>IF($C108=0,"",SUMIFS(INPUT_DATA!AX:AX,INPUT_DATA!$A:$A,$C108,INPUT_DATA!$C:$C,"D"))</f>
        <v/>
      </c>
      <c r="AC108" s="761" t="str">
        <f>IF($C108=0,"",SUMIFS(INPUT_DATA!AY:AY,INPUT_DATA!$A:$A,$C108,INPUT_DATA!$C:$C,"D"))</f>
        <v/>
      </c>
      <c r="AD108" s="761" t="str">
        <f>IF($C108=0,"",SUMIFS(INPUT_DATA!AZ:AZ,INPUT_DATA!$A:$A,$C108,INPUT_DATA!$C:$C,"D"))</f>
        <v/>
      </c>
      <c r="AE108" s="761" t="str">
        <f>IF($C108=0,"",SUMIFS(INPUT_DATA!BA:BA,INPUT_DATA!$A:$A,$C108,INPUT_DATA!$C:$C,"D"))</f>
        <v/>
      </c>
      <c r="AF108" s="761" t="str">
        <f>IF($C108=0,"",SUMIFS(INPUT_DATA!BB:BB,INPUT_DATA!$A:$A,$C108,INPUT_DATA!$C:$C,"D"))</f>
        <v/>
      </c>
      <c r="AG108" s="761" t="str">
        <f>IF($C108=0,"",SUMIFS(INPUT_DATA!BC:BC,INPUT_DATA!$A:$A,$C108,INPUT_DATA!$C:$C,"D"))</f>
        <v/>
      </c>
      <c r="AH108" s="761" t="str">
        <f>IF($C108=0,"",SUMIFS(INPUT_DATA!BD:BD,INPUT_DATA!$A:$A,$C108,INPUT_DATA!$C:$C,"D"))</f>
        <v/>
      </c>
      <c r="AI108" s="761" t="str">
        <f>IF($C108=0,"",SUMIFS(INPUT_DATA!BE:BE,INPUT_DATA!$A:$A,$C108,INPUT_DATA!$C:$C,"D"))</f>
        <v/>
      </c>
      <c r="AJ108" s="314" t="str">
        <f t="shared" si="13"/>
        <v/>
      </c>
      <c r="AK108" s="769" t="str">
        <f>IF($C108=0,"",SUMIFS(INPUT_DATA!BG:BG,INPUT_DATA!$A:$A,$C108,INPUT_DATA!$C:$C,"D"))</f>
        <v/>
      </c>
      <c r="AL108" s="769" t="str">
        <f>IF($C108=0,"",SUMIFS(INPUT_DATA!BH:BH,INPUT_DATA!$A:$A,$C108,INPUT_DATA!$C:$C,"D"))</f>
        <v/>
      </c>
      <c r="AM108" s="769" t="str">
        <f>IF($C108=0,"",SUMIFS(INPUT_DATA!BI:BI,INPUT_DATA!$A:$A,$C108,INPUT_DATA!$C:$C,"D"))</f>
        <v/>
      </c>
      <c r="AN108" s="767" t="str">
        <f t="shared" si="17"/>
        <v/>
      </c>
      <c r="AO108" s="772" t="str">
        <f>IF($C108=0,"",SUMIFS(INPUT_DATA!BK:BK,INPUT_DATA!$A:$A,$C108,INPUT_DATA!$C:$C,"D"))</f>
        <v/>
      </c>
      <c r="AP108" s="354" t="str">
        <f t="shared" si="18"/>
        <v/>
      </c>
      <c r="AQ108" s="149"/>
      <c r="AS108" s="354" t="str">
        <f t="shared" si="19"/>
        <v/>
      </c>
      <c r="AU108" s="378" t="str">
        <f>IF($C108=0,"",'03 - Monthly Asset Follow up'!E112+'03 - Monthly Asset Follow up'!F112-'03 - Monthly Asset Follow up'!U112+'03 - Monthly Asset Follow up'!X112-H108)</f>
        <v/>
      </c>
      <c r="AV108" s="378" t="str">
        <f>IF($C108=0,"",'03 - Monthly Asset Follow up'!BD112+'03 - Monthly Asset Follow up'!BE112-'03 - Monthly Asset Follow up'!BT112+'03 - Monthly Asset Follow up'!BW112-AA108)</f>
        <v/>
      </c>
      <c r="AX108" s="154"/>
    </row>
    <row r="109" spans="2:50" x14ac:dyDescent="0.2">
      <c r="B109" s="753" t="str">
        <f t="shared" si="14"/>
        <v/>
      </c>
      <c r="C109" s="756">
        <f>'03 - Monthly Asset Follow up'!B113</f>
        <v>0</v>
      </c>
      <c r="D109" s="149"/>
      <c r="E109" s="749" t="str">
        <f>IF($C109=0,"",SUMIFS(INPUT_DATA!AU:AU,INPUT_DATA!$A:$A,$C109,INPUT_DATA!$C:$C,"S"))</f>
        <v/>
      </c>
      <c r="F109" s="761" t="str">
        <f>IF($C109=0,"",SUMIFS(INPUT_DATA!AV:AV,INPUT_DATA!$A:$A,$C109,INPUT_DATA!$C:$C,"S"))</f>
        <v/>
      </c>
      <c r="G109" s="761" t="str">
        <f>IF($C109=0,"",SUMIFS(INPUT_DATA!AW:AW,INPUT_DATA!$A:$A,$C109,INPUT_DATA!$C:$C,"S"))</f>
        <v/>
      </c>
      <c r="H109" s="763" t="str">
        <f t="shared" si="10"/>
        <v/>
      </c>
      <c r="I109" s="761" t="str">
        <f>IF($C109=0,"",SUMIFS(INPUT_DATA!AY:AY,INPUT_DATA!$A:$A,$C109,INPUT_DATA!$C:$C,"S"))</f>
        <v/>
      </c>
      <c r="J109" s="761" t="str">
        <f>IF($C109=0,"",SUMIFS(INPUT_DATA!AZ:AZ,INPUT_DATA!$A:$A,$C109,INPUT_DATA!$C:$C,"S"))</f>
        <v/>
      </c>
      <c r="K109" s="761" t="str">
        <f>IF($C109=0,"",SUMIFS(INPUT_DATA!BA:BA,INPUT_DATA!$A:$A,$C109,INPUT_DATA!$C:$C,"S"))</f>
        <v/>
      </c>
      <c r="L109" s="761" t="str">
        <f>IF($C109=0,"",SUMIFS(INPUT_DATA!BB:BB,INPUT_DATA!$A:$A,$C109,INPUT_DATA!$C:$C,"S"))</f>
        <v/>
      </c>
      <c r="M109" s="761" t="str">
        <f>IF($C109=0,"",SUMIFS(INPUT_DATA!BC:BC,INPUT_DATA!$A:$A,$C109,INPUT_DATA!$C:$C,"S"))</f>
        <v/>
      </c>
      <c r="N109" s="761" t="str">
        <f>IF($C109=0,"",SUMIFS(INPUT_DATA!BD:BD,INPUT_DATA!$A:$A,$C109,INPUT_DATA!$C:$C,"S"))</f>
        <v/>
      </c>
      <c r="O109" s="761" t="str">
        <f>IF($C109=0,"",SUMIFS(INPUT_DATA!BE:BE,INPUT_DATA!$A:$A,$C109,INPUT_DATA!$C:$C,"S"))</f>
        <v/>
      </c>
      <c r="P109" s="761" t="str">
        <f>IF($C109=0,"",SUMIFS(INPUT_DATA!BF:BF,INPUT_DATA!$A:$A,$C109,INPUT_DATA!$C:$C,"S"))</f>
        <v/>
      </c>
      <c r="Q109" s="767" t="str">
        <f t="shared" si="15"/>
        <v/>
      </c>
      <c r="R109" s="769" t="str">
        <f>IF($C109=0,"",SUMIFS(INPUT_DATA!BH:BH,INPUT_DATA!$A:$A,$C109,INPUT_DATA!$C:$C,"S"))</f>
        <v/>
      </c>
      <c r="S109" s="769" t="str">
        <f>IF($C109=0,"",SUMIFS(INPUT_DATA!BI:BI,INPUT_DATA!$A:$A,$C109,INPUT_DATA!$C:$C,"S"))</f>
        <v/>
      </c>
      <c r="T109" s="767" t="str">
        <f t="shared" si="16"/>
        <v/>
      </c>
      <c r="U109" s="772" t="str">
        <f>IF($C109=0,"",SUMIFS(INPUT_DATA!BL:BL,INPUT_DATA!$A:$A,$C109,INPUT_DATA!$C:$C,"S"))</f>
        <v/>
      </c>
      <c r="V109" s="155" t="str">
        <f t="shared" si="11"/>
        <v/>
      </c>
      <c r="W109" s="149"/>
      <c r="X109" s="749" t="str">
        <f>IF($C109=0,"",SUMIFS(INPUT_DATA!AU:AU,INPUT_DATA!$A:$A,$C109,INPUT_DATA!$C:$C,"D"))</f>
        <v/>
      </c>
      <c r="Y109" s="761" t="str">
        <f>IF($C109=0,"",SUMIFS(INPUT_DATA!AV:AV,INPUT_DATA!$A:$A,$C109,INPUT_DATA!$C:$C,"D"))</f>
        <v/>
      </c>
      <c r="Z109" s="761" t="str">
        <f>IF($C109=0,"",SUMIFS(INPUT_DATA!AW:AW,INPUT_DATA!$A:$A,$C109,INPUT_DATA!$C:$C,"D"))</f>
        <v/>
      </c>
      <c r="AA109" s="762" t="str">
        <f t="shared" si="12"/>
        <v/>
      </c>
      <c r="AB109" s="761" t="str">
        <f>IF($C109=0,"",SUMIFS(INPUT_DATA!AX:AX,INPUT_DATA!$A:$A,$C109,INPUT_DATA!$C:$C,"D"))</f>
        <v/>
      </c>
      <c r="AC109" s="761" t="str">
        <f>IF($C109=0,"",SUMIFS(INPUT_DATA!AY:AY,INPUT_DATA!$A:$A,$C109,INPUT_DATA!$C:$C,"D"))</f>
        <v/>
      </c>
      <c r="AD109" s="761" t="str">
        <f>IF($C109=0,"",SUMIFS(INPUT_DATA!AZ:AZ,INPUT_DATA!$A:$A,$C109,INPUT_DATA!$C:$C,"D"))</f>
        <v/>
      </c>
      <c r="AE109" s="761" t="str">
        <f>IF($C109=0,"",SUMIFS(INPUT_DATA!BA:BA,INPUT_DATA!$A:$A,$C109,INPUT_DATA!$C:$C,"D"))</f>
        <v/>
      </c>
      <c r="AF109" s="761" t="str">
        <f>IF($C109=0,"",SUMIFS(INPUT_DATA!BB:BB,INPUT_DATA!$A:$A,$C109,INPUT_DATA!$C:$C,"D"))</f>
        <v/>
      </c>
      <c r="AG109" s="761" t="str">
        <f>IF($C109=0,"",SUMIFS(INPUT_DATA!BC:BC,INPUT_DATA!$A:$A,$C109,INPUT_DATA!$C:$C,"D"))</f>
        <v/>
      </c>
      <c r="AH109" s="761" t="str">
        <f>IF($C109=0,"",SUMIFS(INPUT_DATA!BD:BD,INPUT_DATA!$A:$A,$C109,INPUT_DATA!$C:$C,"D"))</f>
        <v/>
      </c>
      <c r="AI109" s="761" t="str">
        <f>IF($C109=0,"",SUMIFS(INPUT_DATA!BE:BE,INPUT_DATA!$A:$A,$C109,INPUT_DATA!$C:$C,"D"))</f>
        <v/>
      </c>
      <c r="AJ109" s="314" t="str">
        <f t="shared" si="13"/>
        <v/>
      </c>
      <c r="AK109" s="769" t="str">
        <f>IF($C109=0,"",SUMIFS(INPUT_DATA!BG:BG,INPUT_DATA!$A:$A,$C109,INPUT_DATA!$C:$C,"D"))</f>
        <v/>
      </c>
      <c r="AL109" s="769" t="str">
        <f>IF($C109=0,"",SUMIFS(INPUT_DATA!BH:BH,INPUT_DATA!$A:$A,$C109,INPUT_DATA!$C:$C,"D"))</f>
        <v/>
      </c>
      <c r="AM109" s="769" t="str">
        <f>IF($C109=0,"",SUMIFS(INPUT_DATA!BI:BI,INPUT_DATA!$A:$A,$C109,INPUT_DATA!$C:$C,"D"))</f>
        <v/>
      </c>
      <c r="AN109" s="767" t="str">
        <f t="shared" si="17"/>
        <v/>
      </c>
      <c r="AO109" s="772" t="str">
        <f>IF($C109=0,"",SUMIFS(INPUT_DATA!BK:BK,INPUT_DATA!$A:$A,$C109,INPUT_DATA!$C:$C,"D"))</f>
        <v/>
      </c>
      <c r="AP109" s="354" t="str">
        <f t="shared" si="18"/>
        <v/>
      </c>
      <c r="AQ109" s="149"/>
      <c r="AS109" s="354" t="str">
        <f t="shared" si="19"/>
        <v/>
      </c>
      <c r="AU109" s="378" t="str">
        <f>IF($C109=0,"",'03 - Monthly Asset Follow up'!E113+'03 - Monthly Asset Follow up'!F113-'03 - Monthly Asset Follow up'!U113+'03 - Monthly Asset Follow up'!X113-H109)</f>
        <v/>
      </c>
      <c r="AV109" s="378" t="str">
        <f>IF($C109=0,"",'03 - Monthly Asset Follow up'!BD113+'03 - Monthly Asset Follow up'!BE113-'03 - Monthly Asset Follow up'!BT113+'03 - Monthly Asset Follow up'!BW113-AA109)</f>
        <v/>
      </c>
      <c r="AX109" s="154"/>
    </row>
    <row r="110" spans="2:50" x14ac:dyDescent="0.2">
      <c r="B110" s="753" t="str">
        <f t="shared" si="14"/>
        <v/>
      </c>
      <c r="C110" s="756">
        <f>'03 - Monthly Asset Follow up'!B114</f>
        <v>0</v>
      </c>
      <c r="D110" s="149"/>
      <c r="E110" s="749" t="str">
        <f>IF($C110=0,"",SUMIFS(INPUT_DATA!AU:AU,INPUT_DATA!$A:$A,$C110,INPUT_DATA!$C:$C,"S"))</f>
        <v/>
      </c>
      <c r="F110" s="761" t="str">
        <f>IF($C110=0,"",SUMIFS(INPUT_DATA!AV:AV,INPUT_DATA!$A:$A,$C110,INPUT_DATA!$C:$C,"S"))</f>
        <v/>
      </c>
      <c r="G110" s="761" t="str">
        <f>IF($C110=0,"",SUMIFS(INPUT_DATA!AW:AW,INPUT_DATA!$A:$A,$C110,INPUT_DATA!$C:$C,"S"))</f>
        <v/>
      </c>
      <c r="H110" s="763" t="str">
        <f t="shared" si="10"/>
        <v/>
      </c>
      <c r="I110" s="761" t="str">
        <f>IF($C110=0,"",SUMIFS(INPUT_DATA!AY:AY,INPUT_DATA!$A:$A,$C110,INPUT_DATA!$C:$C,"S"))</f>
        <v/>
      </c>
      <c r="J110" s="761" t="str">
        <f>IF($C110=0,"",SUMIFS(INPUT_DATA!AZ:AZ,INPUT_DATA!$A:$A,$C110,INPUT_DATA!$C:$C,"S"))</f>
        <v/>
      </c>
      <c r="K110" s="761" t="str">
        <f>IF($C110=0,"",SUMIFS(INPUT_DATA!BA:BA,INPUT_DATA!$A:$A,$C110,INPUT_DATA!$C:$C,"S"))</f>
        <v/>
      </c>
      <c r="L110" s="761" t="str">
        <f>IF($C110=0,"",SUMIFS(INPUT_DATA!BB:BB,INPUT_DATA!$A:$A,$C110,INPUT_DATA!$C:$C,"S"))</f>
        <v/>
      </c>
      <c r="M110" s="761" t="str">
        <f>IF($C110=0,"",SUMIFS(INPUT_DATA!BC:BC,INPUT_DATA!$A:$A,$C110,INPUT_DATA!$C:$C,"S"))</f>
        <v/>
      </c>
      <c r="N110" s="761" t="str">
        <f>IF($C110=0,"",SUMIFS(INPUT_DATA!BD:BD,INPUT_DATA!$A:$A,$C110,INPUT_DATA!$C:$C,"S"))</f>
        <v/>
      </c>
      <c r="O110" s="761" t="str">
        <f>IF($C110=0,"",SUMIFS(INPUT_DATA!BE:BE,INPUT_DATA!$A:$A,$C110,INPUT_DATA!$C:$C,"S"))</f>
        <v/>
      </c>
      <c r="P110" s="761" t="str">
        <f>IF($C110=0,"",SUMIFS(INPUT_DATA!BF:BF,INPUT_DATA!$A:$A,$C110,INPUT_DATA!$C:$C,"S"))</f>
        <v/>
      </c>
      <c r="Q110" s="767" t="str">
        <f t="shared" si="15"/>
        <v/>
      </c>
      <c r="R110" s="769" t="str">
        <f>IF($C110=0,"",SUMIFS(INPUT_DATA!BH:BH,INPUT_DATA!$A:$A,$C110,INPUT_DATA!$C:$C,"S"))</f>
        <v/>
      </c>
      <c r="S110" s="769" t="str">
        <f>IF($C110=0,"",SUMIFS(INPUT_DATA!BI:BI,INPUT_DATA!$A:$A,$C110,INPUT_DATA!$C:$C,"S"))</f>
        <v/>
      </c>
      <c r="T110" s="767" t="str">
        <f t="shared" si="16"/>
        <v/>
      </c>
      <c r="U110" s="772" t="str">
        <f>IF($C110=0,"",SUMIFS(INPUT_DATA!BL:BL,INPUT_DATA!$A:$A,$C110,INPUT_DATA!$C:$C,"S"))</f>
        <v/>
      </c>
      <c r="V110" s="155" t="str">
        <f t="shared" si="11"/>
        <v/>
      </c>
      <c r="W110" s="149"/>
      <c r="X110" s="749" t="str">
        <f>IF($C110=0,"",SUMIFS(INPUT_DATA!AU:AU,INPUT_DATA!$A:$A,$C110,INPUT_DATA!$C:$C,"D"))</f>
        <v/>
      </c>
      <c r="Y110" s="761" t="str">
        <f>IF($C110=0,"",SUMIFS(INPUT_DATA!AV:AV,INPUT_DATA!$A:$A,$C110,INPUT_DATA!$C:$C,"D"))</f>
        <v/>
      </c>
      <c r="Z110" s="761" t="str">
        <f>IF($C110=0,"",SUMIFS(INPUT_DATA!AW:AW,INPUT_DATA!$A:$A,$C110,INPUT_DATA!$C:$C,"D"))</f>
        <v/>
      </c>
      <c r="AA110" s="762" t="str">
        <f t="shared" si="12"/>
        <v/>
      </c>
      <c r="AB110" s="761" t="str">
        <f>IF($C110=0,"",SUMIFS(INPUT_DATA!AX:AX,INPUT_DATA!$A:$A,$C110,INPUT_DATA!$C:$C,"D"))</f>
        <v/>
      </c>
      <c r="AC110" s="761" t="str">
        <f>IF($C110=0,"",SUMIFS(INPUT_DATA!AY:AY,INPUT_DATA!$A:$A,$C110,INPUT_DATA!$C:$C,"D"))</f>
        <v/>
      </c>
      <c r="AD110" s="761" t="str">
        <f>IF($C110=0,"",SUMIFS(INPUT_DATA!AZ:AZ,INPUT_DATA!$A:$A,$C110,INPUT_DATA!$C:$C,"D"))</f>
        <v/>
      </c>
      <c r="AE110" s="761" t="str">
        <f>IF($C110=0,"",SUMIFS(INPUT_DATA!BA:BA,INPUT_DATA!$A:$A,$C110,INPUT_DATA!$C:$C,"D"))</f>
        <v/>
      </c>
      <c r="AF110" s="761" t="str">
        <f>IF($C110=0,"",SUMIFS(INPUT_DATA!BB:BB,INPUT_DATA!$A:$A,$C110,INPUT_DATA!$C:$C,"D"))</f>
        <v/>
      </c>
      <c r="AG110" s="761" t="str">
        <f>IF($C110=0,"",SUMIFS(INPUT_DATA!BC:BC,INPUT_DATA!$A:$A,$C110,INPUT_DATA!$C:$C,"D"))</f>
        <v/>
      </c>
      <c r="AH110" s="761" t="str">
        <f>IF($C110=0,"",SUMIFS(INPUT_DATA!BD:BD,INPUT_DATA!$A:$A,$C110,INPUT_DATA!$C:$C,"D"))</f>
        <v/>
      </c>
      <c r="AI110" s="761" t="str">
        <f>IF($C110=0,"",SUMIFS(INPUT_DATA!BE:BE,INPUT_DATA!$A:$A,$C110,INPUT_DATA!$C:$C,"D"))</f>
        <v/>
      </c>
      <c r="AJ110" s="314" t="str">
        <f t="shared" si="13"/>
        <v/>
      </c>
      <c r="AK110" s="769" t="str">
        <f>IF($C110=0,"",SUMIFS(INPUT_DATA!BG:BG,INPUT_DATA!$A:$A,$C110,INPUT_DATA!$C:$C,"D"))</f>
        <v/>
      </c>
      <c r="AL110" s="769" t="str">
        <f>IF($C110=0,"",SUMIFS(INPUT_DATA!BH:BH,INPUT_DATA!$A:$A,$C110,INPUT_DATA!$C:$C,"D"))</f>
        <v/>
      </c>
      <c r="AM110" s="769" t="str">
        <f>IF($C110=0,"",SUMIFS(INPUT_DATA!BI:BI,INPUT_DATA!$A:$A,$C110,INPUT_DATA!$C:$C,"D"))</f>
        <v/>
      </c>
      <c r="AN110" s="767" t="str">
        <f t="shared" si="17"/>
        <v/>
      </c>
      <c r="AO110" s="772" t="str">
        <f>IF($C110=0,"",SUMIFS(INPUT_DATA!BK:BK,INPUT_DATA!$A:$A,$C110,INPUT_DATA!$C:$C,"D"))</f>
        <v/>
      </c>
      <c r="AP110" s="354" t="str">
        <f t="shared" si="18"/>
        <v/>
      </c>
      <c r="AQ110" s="149"/>
      <c r="AS110" s="354" t="str">
        <f t="shared" si="19"/>
        <v/>
      </c>
      <c r="AU110" s="378" t="str">
        <f>IF($C110=0,"",'03 - Monthly Asset Follow up'!E114+'03 - Monthly Asset Follow up'!F114-'03 - Monthly Asset Follow up'!U114+'03 - Monthly Asset Follow up'!X114-H110)</f>
        <v/>
      </c>
      <c r="AV110" s="378" t="str">
        <f>IF($C110=0,"",'03 - Monthly Asset Follow up'!BD114+'03 - Monthly Asset Follow up'!BE114-'03 - Monthly Asset Follow up'!BT114+'03 - Monthly Asset Follow up'!BW114-AA110)</f>
        <v/>
      </c>
      <c r="AX110" s="154"/>
    </row>
    <row r="111" spans="2:50" x14ac:dyDescent="0.2">
      <c r="B111" s="753" t="str">
        <f t="shared" si="14"/>
        <v/>
      </c>
      <c r="C111" s="756">
        <f>'03 - Monthly Asset Follow up'!B115</f>
        <v>0</v>
      </c>
      <c r="D111" s="149"/>
      <c r="E111" s="749" t="str">
        <f>IF($C111=0,"",SUMIFS(INPUT_DATA!AU:AU,INPUT_DATA!$A:$A,$C111,INPUT_DATA!$C:$C,"S"))</f>
        <v/>
      </c>
      <c r="F111" s="761" t="str">
        <f>IF($C111=0,"",SUMIFS(INPUT_DATA!AV:AV,INPUT_DATA!$A:$A,$C111,INPUT_DATA!$C:$C,"S"))</f>
        <v/>
      </c>
      <c r="G111" s="761" t="str">
        <f>IF($C111=0,"",SUMIFS(INPUT_DATA!AW:AW,INPUT_DATA!$A:$A,$C111,INPUT_DATA!$C:$C,"S"))</f>
        <v/>
      </c>
      <c r="H111" s="763" t="str">
        <f t="shared" si="10"/>
        <v/>
      </c>
      <c r="I111" s="761" t="str">
        <f>IF($C111=0,"",SUMIFS(INPUT_DATA!AY:AY,INPUT_DATA!$A:$A,$C111,INPUT_DATA!$C:$C,"S"))</f>
        <v/>
      </c>
      <c r="J111" s="761" t="str">
        <f>IF($C111=0,"",SUMIFS(INPUT_DATA!AZ:AZ,INPUT_DATA!$A:$A,$C111,INPUT_DATA!$C:$C,"S"))</f>
        <v/>
      </c>
      <c r="K111" s="761" t="str">
        <f>IF($C111=0,"",SUMIFS(INPUT_DATA!BA:BA,INPUT_DATA!$A:$A,$C111,INPUT_DATA!$C:$C,"S"))</f>
        <v/>
      </c>
      <c r="L111" s="761" t="str">
        <f>IF($C111=0,"",SUMIFS(INPUT_DATA!BB:BB,INPUT_DATA!$A:$A,$C111,INPUT_DATA!$C:$C,"S"))</f>
        <v/>
      </c>
      <c r="M111" s="761" t="str">
        <f>IF($C111=0,"",SUMIFS(INPUT_DATA!BC:BC,INPUT_DATA!$A:$A,$C111,INPUT_DATA!$C:$C,"S"))</f>
        <v/>
      </c>
      <c r="N111" s="761" t="str">
        <f>IF($C111=0,"",SUMIFS(INPUT_DATA!BD:BD,INPUT_DATA!$A:$A,$C111,INPUT_DATA!$C:$C,"S"))</f>
        <v/>
      </c>
      <c r="O111" s="761" t="str">
        <f>IF($C111=0,"",SUMIFS(INPUT_DATA!BE:BE,INPUT_DATA!$A:$A,$C111,INPUT_DATA!$C:$C,"S"))</f>
        <v/>
      </c>
      <c r="P111" s="761" t="str">
        <f>IF($C111=0,"",SUMIFS(INPUT_DATA!BF:BF,INPUT_DATA!$A:$A,$C111,INPUT_DATA!$C:$C,"S"))</f>
        <v/>
      </c>
      <c r="Q111" s="767" t="str">
        <f t="shared" si="15"/>
        <v/>
      </c>
      <c r="R111" s="769" t="str">
        <f>IF($C111=0,"",SUMIFS(INPUT_DATA!BH:BH,INPUT_DATA!$A:$A,$C111,INPUT_DATA!$C:$C,"S"))</f>
        <v/>
      </c>
      <c r="S111" s="769" t="str">
        <f>IF($C111=0,"",SUMIFS(INPUT_DATA!BI:BI,INPUT_DATA!$A:$A,$C111,INPUT_DATA!$C:$C,"S"))</f>
        <v/>
      </c>
      <c r="T111" s="767" t="str">
        <f t="shared" si="16"/>
        <v/>
      </c>
      <c r="U111" s="772" t="str">
        <f>IF($C111=0,"",SUMIFS(INPUT_DATA!BL:BL,INPUT_DATA!$A:$A,$C111,INPUT_DATA!$C:$C,"S"))</f>
        <v/>
      </c>
      <c r="V111" s="155" t="str">
        <f t="shared" si="11"/>
        <v/>
      </c>
      <c r="W111" s="149"/>
      <c r="X111" s="749" t="str">
        <f>IF($C111=0,"",SUMIFS(INPUT_DATA!AU:AU,INPUT_DATA!$A:$A,$C111,INPUT_DATA!$C:$C,"D"))</f>
        <v/>
      </c>
      <c r="Y111" s="761" t="str">
        <f>IF($C111=0,"",SUMIFS(INPUT_DATA!AV:AV,INPUT_DATA!$A:$A,$C111,INPUT_DATA!$C:$C,"D"))</f>
        <v/>
      </c>
      <c r="Z111" s="761" t="str">
        <f>IF($C111=0,"",SUMIFS(INPUT_DATA!AW:AW,INPUT_DATA!$A:$A,$C111,INPUT_DATA!$C:$C,"D"))</f>
        <v/>
      </c>
      <c r="AA111" s="762" t="str">
        <f t="shared" si="12"/>
        <v/>
      </c>
      <c r="AB111" s="761" t="str">
        <f>IF($C111=0,"",SUMIFS(INPUT_DATA!AX:AX,INPUT_DATA!$A:$A,$C111,INPUT_DATA!$C:$C,"D"))</f>
        <v/>
      </c>
      <c r="AC111" s="761" t="str">
        <f>IF($C111=0,"",SUMIFS(INPUT_DATA!AY:AY,INPUT_DATA!$A:$A,$C111,INPUT_DATA!$C:$C,"D"))</f>
        <v/>
      </c>
      <c r="AD111" s="761" t="str">
        <f>IF($C111=0,"",SUMIFS(INPUT_DATA!AZ:AZ,INPUT_DATA!$A:$A,$C111,INPUT_DATA!$C:$C,"D"))</f>
        <v/>
      </c>
      <c r="AE111" s="761" t="str">
        <f>IF($C111=0,"",SUMIFS(INPUT_DATA!BA:BA,INPUT_DATA!$A:$A,$C111,INPUT_DATA!$C:$C,"D"))</f>
        <v/>
      </c>
      <c r="AF111" s="761" t="str">
        <f>IF($C111=0,"",SUMIFS(INPUT_DATA!BB:BB,INPUT_DATA!$A:$A,$C111,INPUT_DATA!$C:$C,"D"))</f>
        <v/>
      </c>
      <c r="AG111" s="761" t="str">
        <f>IF($C111=0,"",SUMIFS(INPUT_DATA!BC:BC,INPUT_DATA!$A:$A,$C111,INPUT_DATA!$C:$C,"D"))</f>
        <v/>
      </c>
      <c r="AH111" s="761" t="str">
        <f>IF($C111=0,"",SUMIFS(INPUT_DATA!BD:BD,INPUT_DATA!$A:$A,$C111,INPUT_DATA!$C:$C,"D"))</f>
        <v/>
      </c>
      <c r="AI111" s="761" t="str">
        <f>IF($C111=0,"",SUMIFS(INPUT_DATA!BE:BE,INPUT_DATA!$A:$A,$C111,INPUT_DATA!$C:$C,"D"))</f>
        <v/>
      </c>
      <c r="AJ111" s="314" t="str">
        <f t="shared" si="13"/>
        <v/>
      </c>
      <c r="AK111" s="769" t="str">
        <f>IF($C111=0,"",SUMIFS(INPUT_DATA!BG:BG,INPUT_DATA!$A:$A,$C111,INPUT_DATA!$C:$C,"D"))</f>
        <v/>
      </c>
      <c r="AL111" s="769" t="str">
        <f>IF($C111=0,"",SUMIFS(INPUT_DATA!BH:BH,INPUT_DATA!$A:$A,$C111,INPUT_DATA!$C:$C,"D"))</f>
        <v/>
      </c>
      <c r="AM111" s="769" t="str">
        <f>IF($C111=0,"",SUMIFS(INPUT_DATA!BI:BI,INPUT_DATA!$A:$A,$C111,INPUT_DATA!$C:$C,"D"))</f>
        <v/>
      </c>
      <c r="AN111" s="767" t="str">
        <f t="shared" si="17"/>
        <v/>
      </c>
      <c r="AO111" s="772" t="str">
        <f>IF($C111=0,"",SUMIFS(INPUT_DATA!BK:BK,INPUT_DATA!$A:$A,$C111,INPUT_DATA!$C:$C,"D"))</f>
        <v/>
      </c>
      <c r="AP111" s="354" t="str">
        <f t="shared" si="18"/>
        <v/>
      </c>
      <c r="AQ111" s="149"/>
      <c r="AS111" s="354" t="str">
        <f t="shared" si="19"/>
        <v/>
      </c>
      <c r="AU111" s="378" t="str">
        <f>IF($C111=0,"",'03 - Monthly Asset Follow up'!E115+'03 - Monthly Asset Follow up'!F115-'03 - Monthly Asset Follow up'!U115+'03 - Monthly Asset Follow up'!X115-H111)</f>
        <v/>
      </c>
      <c r="AV111" s="378" t="str">
        <f>IF($C111=0,"",'03 - Monthly Asset Follow up'!BD115+'03 - Monthly Asset Follow up'!BE115-'03 - Monthly Asset Follow up'!BT115+'03 - Monthly Asset Follow up'!BW115-AA111)</f>
        <v/>
      </c>
      <c r="AX111" s="154"/>
    </row>
    <row r="112" spans="2:50" x14ac:dyDescent="0.2">
      <c r="B112" s="753" t="str">
        <f t="shared" si="14"/>
        <v/>
      </c>
      <c r="C112" s="756">
        <f>'03 - Monthly Asset Follow up'!B116</f>
        <v>0</v>
      </c>
      <c r="D112" s="149"/>
      <c r="E112" s="749" t="str">
        <f>IF($C112=0,"",SUMIFS(INPUT_DATA!AU:AU,INPUT_DATA!$A:$A,$C112,INPUT_DATA!$C:$C,"S"))</f>
        <v/>
      </c>
      <c r="F112" s="761" t="str">
        <f>IF($C112=0,"",SUMIFS(INPUT_DATA!AV:AV,INPUT_DATA!$A:$A,$C112,INPUT_DATA!$C:$C,"S"))</f>
        <v/>
      </c>
      <c r="G112" s="761" t="str">
        <f>IF($C112=0,"",SUMIFS(INPUT_DATA!AW:AW,INPUT_DATA!$A:$A,$C112,INPUT_DATA!$C:$C,"S"))</f>
        <v/>
      </c>
      <c r="H112" s="763" t="str">
        <f t="shared" si="10"/>
        <v/>
      </c>
      <c r="I112" s="761" t="str">
        <f>IF($C112=0,"",SUMIFS(INPUT_DATA!AY:AY,INPUT_DATA!$A:$A,$C112,INPUT_DATA!$C:$C,"S"))</f>
        <v/>
      </c>
      <c r="J112" s="761" t="str">
        <f>IF($C112=0,"",SUMIFS(INPUT_DATA!AZ:AZ,INPUT_DATA!$A:$A,$C112,INPUT_DATA!$C:$C,"S"))</f>
        <v/>
      </c>
      <c r="K112" s="761" t="str">
        <f>IF($C112=0,"",SUMIFS(INPUT_DATA!BA:BA,INPUT_DATA!$A:$A,$C112,INPUT_DATA!$C:$C,"S"))</f>
        <v/>
      </c>
      <c r="L112" s="761" t="str">
        <f>IF($C112=0,"",SUMIFS(INPUT_DATA!BB:BB,INPUT_DATA!$A:$A,$C112,INPUT_DATA!$C:$C,"S"))</f>
        <v/>
      </c>
      <c r="M112" s="761" t="str">
        <f>IF($C112=0,"",SUMIFS(INPUT_DATA!BC:BC,INPUT_DATA!$A:$A,$C112,INPUT_DATA!$C:$C,"S"))</f>
        <v/>
      </c>
      <c r="N112" s="761" t="str">
        <f>IF($C112=0,"",SUMIFS(INPUT_DATA!BD:BD,INPUT_DATA!$A:$A,$C112,INPUT_DATA!$C:$C,"S"))</f>
        <v/>
      </c>
      <c r="O112" s="761" t="str">
        <f>IF($C112=0,"",SUMIFS(INPUT_DATA!BE:BE,INPUT_DATA!$A:$A,$C112,INPUT_DATA!$C:$C,"S"))</f>
        <v/>
      </c>
      <c r="P112" s="761" t="str">
        <f>IF($C112=0,"",SUMIFS(INPUT_DATA!BF:BF,INPUT_DATA!$A:$A,$C112,INPUT_DATA!$C:$C,"S"))</f>
        <v/>
      </c>
      <c r="Q112" s="767" t="str">
        <f t="shared" si="15"/>
        <v/>
      </c>
      <c r="R112" s="769" t="str">
        <f>IF($C112=0,"",SUMIFS(INPUT_DATA!BH:BH,INPUT_DATA!$A:$A,$C112,INPUT_DATA!$C:$C,"S"))</f>
        <v/>
      </c>
      <c r="S112" s="769" t="str">
        <f>IF($C112=0,"",SUMIFS(INPUT_DATA!BI:BI,INPUT_DATA!$A:$A,$C112,INPUT_DATA!$C:$C,"S"))</f>
        <v/>
      </c>
      <c r="T112" s="767" t="str">
        <f t="shared" si="16"/>
        <v/>
      </c>
      <c r="U112" s="772" t="str">
        <f>IF($C112=0,"",SUMIFS(INPUT_DATA!BL:BL,INPUT_DATA!$A:$A,$C112,INPUT_DATA!$C:$C,"S"))</f>
        <v/>
      </c>
      <c r="V112" s="155" t="str">
        <f t="shared" si="11"/>
        <v/>
      </c>
      <c r="W112" s="149"/>
      <c r="X112" s="749" t="str">
        <f>IF($C112=0,"",SUMIFS(INPUT_DATA!AU:AU,INPUT_DATA!$A:$A,$C112,INPUT_DATA!$C:$C,"D"))</f>
        <v/>
      </c>
      <c r="Y112" s="761" t="str">
        <f>IF($C112=0,"",SUMIFS(INPUT_DATA!AV:AV,INPUT_DATA!$A:$A,$C112,INPUT_DATA!$C:$C,"D"))</f>
        <v/>
      </c>
      <c r="Z112" s="761" t="str">
        <f>IF($C112=0,"",SUMIFS(INPUT_DATA!AW:AW,INPUT_DATA!$A:$A,$C112,INPUT_DATA!$C:$C,"D"))</f>
        <v/>
      </c>
      <c r="AA112" s="762" t="str">
        <f t="shared" si="12"/>
        <v/>
      </c>
      <c r="AB112" s="761" t="str">
        <f>IF($C112=0,"",SUMIFS(INPUT_DATA!AX:AX,INPUT_DATA!$A:$A,$C112,INPUT_DATA!$C:$C,"D"))</f>
        <v/>
      </c>
      <c r="AC112" s="761" t="str">
        <f>IF($C112=0,"",SUMIFS(INPUT_DATA!AY:AY,INPUT_DATA!$A:$A,$C112,INPUT_DATA!$C:$C,"D"))</f>
        <v/>
      </c>
      <c r="AD112" s="761" t="str">
        <f>IF($C112=0,"",SUMIFS(INPUT_DATA!AZ:AZ,INPUT_DATA!$A:$A,$C112,INPUT_DATA!$C:$C,"D"))</f>
        <v/>
      </c>
      <c r="AE112" s="761" t="str">
        <f>IF($C112=0,"",SUMIFS(INPUT_DATA!BA:BA,INPUT_DATA!$A:$A,$C112,INPUT_DATA!$C:$C,"D"))</f>
        <v/>
      </c>
      <c r="AF112" s="761" t="str">
        <f>IF($C112=0,"",SUMIFS(INPUT_DATA!BB:BB,INPUT_DATA!$A:$A,$C112,INPUT_DATA!$C:$C,"D"))</f>
        <v/>
      </c>
      <c r="AG112" s="761" t="str">
        <f>IF($C112=0,"",SUMIFS(INPUT_DATA!BC:BC,INPUT_DATA!$A:$A,$C112,INPUT_DATA!$C:$C,"D"))</f>
        <v/>
      </c>
      <c r="AH112" s="761" t="str">
        <f>IF($C112=0,"",SUMIFS(INPUT_DATA!BD:BD,INPUT_DATA!$A:$A,$C112,INPUT_DATA!$C:$C,"D"))</f>
        <v/>
      </c>
      <c r="AI112" s="761" t="str">
        <f>IF($C112=0,"",SUMIFS(INPUT_DATA!BE:BE,INPUT_DATA!$A:$A,$C112,INPUT_DATA!$C:$C,"D"))</f>
        <v/>
      </c>
      <c r="AJ112" s="314" t="str">
        <f t="shared" si="13"/>
        <v/>
      </c>
      <c r="AK112" s="769" t="str">
        <f>IF($C112=0,"",SUMIFS(INPUT_DATA!BG:BG,INPUT_DATA!$A:$A,$C112,INPUT_DATA!$C:$C,"D"))</f>
        <v/>
      </c>
      <c r="AL112" s="769" t="str">
        <f>IF($C112=0,"",SUMIFS(INPUT_DATA!BH:BH,INPUT_DATA!$A:$A,$C112,INPUT_DATA!$C:$C,"D"))</f>
        <v/>
      </c>
      <c r="AM112" s="769" t="str">
        <f>IF($C112=0,"",SUMIFS(INPUT_DATA!BI:BI,INPUT_DATA!$A:$A,$C112,INPUT_DATA!$C:$C,"D"))</f>
        <v/>
      </c>
      <c r="AN112" s="767" t="str">
        <f t="shared" si="17"/>
        <v/>
      </c>
      <c r="AO112" s="772" t="str">
        <f>IF($C112=0,"",SUMIFS(INPUT_DATA!BK:BK,INPUT_DATA!$A:$A,$C112,INPUT_DATA!$C:$C,"D"))</f>
        <v/>
      </c>
      <c r="AP112" s="354" t="str">
        <f t="shared" si="18"/>
        <v/>
      </c>
      <c r="AQ112" s="149"/>
      <c r="AS112" s="354" t="str">
        <f t="shared" si="19"/>
        <v/>
      </c>
      <c r="AU112" s="378" t="str">
        <f>IF($C112=0,"",'03 - Monthly Asset Follow up'!E116+'03 - Monthly Asset Follow up'!F116-'03 - Monthly Asset Follow up'!U116+'03 - Monthly Asset Follow up'!X116-H112)</f>
        <v/>
      </c>
      <c r="AV112" s="378" t="str">
        <f>IF($C112=0,"",'03 - Monthly Asset Follow up'!BD116+'03 - Monthly Asset Follow up'!BE116-'03 - Monthly Asset Follow up'!BT116+'03 - Monthly Asset Follow up'!BW116-AA112)</f>
        <v/>
      </c>
      <c r="AX112" s="154"/>
    </row>
    <row r="113" spans="2:50" x14ac:dyDescent="0.2">
      <c r="B113" s="753" t="str">
        <f t="shared" si="14"/>
        <v/>
      </c>
      <c r="C113" s="756">
        <f>'03 - Monthly Asset Follow up'!B117</f>
        <v>0</v>
      </c>
      <c r="D113" s="149"/>
      <c r="E113" s="749" t="str">
        <f>IF($C113=0,"",SUMIFS(INPUT_DATA!AU:AU,INPUT_DATA!$A:$A,$C113,INPUT_DATA!$C:$C,"S"))</f>
        <v/>
      </c>
      <c r="F113" s="761" t="str">
        <f>IF($C113=0,"",SUMIFS(INPUT_DATA!AV:AV,INPUT_DATA!$A:$A,$C113,INPUT_DATA!$C:$C,"S"))</f>
        <v/>
      </c>
      <c r="G113" s="761" t="str">
        <f>IF($C113=0,"",SUMIFS(INPUT_DATA!AW:AW,INPUT_DATA!$A:$A,$C113,INPUT_DATA!$C:$C,"S"))</f>
        <v/>
      </c>
      <c r="H113" s="763" t="str">
        <f t="shared" si="10"/>
        <v/>
      </c>
      <c r="I113" s="761" t="str">
        <f>IF($C113=0,"",SUMIFS(INPUT_DATA!AY:AY,INPUT_DATA!$A:$A,$C113,INPUT_DATA!$C:$C,"S"))</f>
        <v/>
      </c>
      <c r="J113" s="761" t="str">
        <f>IF($C113=0,"",SUMIFS(INPUT_DATA!AZ:AZ,INPUT_DATA!$A:$A,$C113,INPUT_DATA!$C:$C,"S"))</f>
        <v/>
      </c>
      <c r="K113" s="761" t="str">
        <f>IF($C113=0,"",SUMIFS(INPUT_DATA!BA:BA,INPUT_DATA!$A:$A,$C113,INPUT_DATA!$C:$C,"S"))</f>
        <v/>
      </c>
      <c r="L113" s="761" t="str">
        <f>IF($C113=0,"",SUMIFS(INPUT_DATA!BB:BB,INPUT_DATA!$A:$A,$C113,INPUT_DATA!$C:$C,"S"))</f>
        <v/>
      </c>
      <c r="M113" s="761" t="str">
        <f>IF($C113=0,"",SUMIFS(INPUT_DATA!BC:BC,INPUT_DATA!$A:$A,$C113,INPUT_DATA!$C:$C,"S"))</f>
        <v/>
      </c>
      <c r="N113" s="761" t="str">
        <f>IF($C113=0,"",SUMIFS(INPUT_DATA!BD:BD,INPUT_DATA!$A:$A,$C113,INPUT_DATA!$C:$C,"S"))</f>
        <v/>
      </c>
      <c r="O113" s="761" t="str">
        <f>IF($C113=0,"",SUMIFS(INPUT_DATA!BE:BE,INPUT_DATA!$A:$A,$C113,INPUT_DATA!$C:$C,"S"))</f>
        <v/>
      </c>
      <c r="P113" s="761" t="str">
        <f>IF($C113=0,"",SUMIFS(INPUT_DATA!BF:BF,INPUT_DATA!$A:$A,$C113,INPUT_DATA!$C:$C,"S"))</f>
        <v/>
      </c>
      <c r="Q113" s="767" t="str">
        <f t="shared" si="15"/>
        <v/>
      </c>
      <c r="R113" s="769" t="str">
        <f>IF($C113=0,"",SUMIFS(INPUT_DATA!BH:BH,INPUT_DATA!$A:$A,$C113,INPUT_DATA!$C:$C,"S"))</f>
        <v/>
      </c>
      <c r="S113" s="769" t="str">
        <f>IF($C113=0,"",SUMIFS(INPUT_DATA!BI:BI,INPUT_DATA!$A:$A,$C113,INPUT_DATA!$C:$C,"S"))</f>
        <v/>
      </c>
      <c r="T113" s="767" t="str">
        <f t="shared" si="16"/>
        <v/>
      </c>
      <c r="U113" s="772" t="str">
        <f>IF($C113=0,"",SUMIFS(INPUT_DATA!BL:BL,INPUT_DATA!$A:$A,$C113,INPUT_DATA!$C:$C,"S"))</f>
        <v/>
      </c>
      <c r="V113" s="155" t="str">
        <f t="shared" si="11"/>
        <v/>
      </c>
      <c r="W113" s="149"/>
      <c r="X113" s="749" t="str">
        <f>IF($C113=0,"",SUMIFS(INPUT_DATA!AU:AU,INPUT_DATA!$A:$A,$C113,INPUT_DATA!$C:$C,"D"))</f>
        <v/>
      </c>
      <c r="Y113" s="761" t="str">
        <f>IF($C113=0,"",SUMIFS(INPUT_DATA!AV:AV,INPUT_DATA!$A:$A,$C113,INPUT_DATA!$C:$C,"D"))</f>
        <v/>
      </c>
      <c r="Z113" s="761" t="str">
        <f>IF($C113=0,"",SUMIFS(INPUT_DATA!AW:AW,INPUT_DATA!$A:$A,$C113,INPUT_DATA!$C:$C,"D"))</f>
        <v/>
      </c>
      <c r="AA113" s="762" t="str">
        <f t="shared" si="12"/>
        <v/>
      </c>
      <c r="AB113" s="761" t="str">
        <f>IF($C113=0,"",SUMIFS(INPUT_DATA!AX:AX,INPUT_DATA!$A:$A,$C113,INPUT_DATA!$C:$C,"D"))</f>
        <v/>
      </c>
      <c r="AC113" s="761" t="str">
        <f>IF($C113=0,"",SUMIFS(INPUT_DATA!AY:AY,INPUT_DATA!$A:$A,$C113,INPUT_DATA!$C:$C,"D"))</f>
        <v/>
      </c>
      <c r="AD113" s="761" t="str">
        <f>IF($C113=0,"",SUMIFS(INPUT_DATA!AZ:AZ,INPUT_DATA!$A:$A,$C113,INPUT_DATA!$C:$C,"D"))</f>
        <v/>
      </c>
      <c r="AE113" s="761" t="str">
        <f>IF($C113=0,"",SUMIFS(INPUT_DATA!BA:BA,INPUT_DATA!$A:$A,$C113,INPUT_DATA!$C:$C,"D"))</f>
        <v/>
      </c>
      <c r="AF113" s="761" t="str">
        <f>IF($C113=0,"",SUMIFS(INPUT_DATA!BB:BB,INPUT_DATA!$A:$A,$C113,INPUT_DATA!$C:$C,"D"))</f>
        <v/>
      </c>
      <c r="AG113" s="761" t="str">
        <f>IF($C113=0,"",SUMIFS(INPUT_DATA!BC:BC,INPUT_DATA!$A:$A,$C113,INPUT_DATA!$C:$C,"D"))</f>
        <v/>
      </c>
      <c r="AH113" s="761" t="str">
        <f>IF($C113=0,"",SUMIFS(INPUT_DATA!BD:BD,INPUT_DATA!$A:$A,$C113,INPUT_DATA!$C:$C,"D"))</f>
        <v/>
      </c>
      <c r="AI113" s="761" t="str">
        <f>IF($C113=0,"",SUMIFS(INPUT_DATA!BE:BE,INPUT_DATA!$A:$A,$C113,INPUT_DATA!$C:$C,"D"))</f>
        <v/>
      </c>
      <c r="AJ113" s="314" t="str">
        <f t="shared" si="13"/>
        <v/>
      </c>
      <c r="AK113" s="769" t="str">
        <f>IF($C113=0,"",SUMIFS(INPUT_DATA!BG:BG,INPUT_DATA!$A:$A,$C113,INPUT_DATA!$C:$C,"D"))</f>
        <v/>
      </c>
      <c r="AL113" s="769" t="str">
        <f>IF($C113=0,"",SUMIFS(INPUT_DATA!BH:BH,INPUT_DATA!$A:$A,$C113,INPUT_DATA!$C:$C,"D"))</f>
        <v/>
      </c>
      <c r="AM113" s="769" t="str">
        <f>IF($C113=0,"",SUMIFS(INPUT_DATA!BI:BI,INPUT_DATA!$A:$A,$C113,INPUT_DATA!$C:$C,"D"))</f>
        <v/>
      </c>
      <c r="AN113" s="767" t="str">
        <f t="shared" si="17"/>
        <v/>
      </c>
      <c r="AO113" s="772" t="str">
        <f>IF($C113=0,"",SUMIFS(INPUT_DATA!BK:BK,INPUT_DATA!$A:$A,$C113,INPUT_DATA!$C:$C,"D"))</f>
        <v/>
      </c>
      <c r="AP113" s="354" t="str">
        <f t="shared" si="18"/>
        <v/>
      </c>
      <c r="AQ113" s="149"/>
      <c r="AS113" s="354" t="str">
        <f t="shared" si="19"/>
        <v/>
      </c>
      <c r="AU113" s="378" t="str">
        <f>IF($C113=0,"",'03 - Monthly Asset Follow up'!E117+'03 - Monthly Asset Follow up'!F117-'03 - Monthly Asset Follow up'!U117+'03 - Monthly Asset Follow up'!X117-H113)</f>
        <v/>
      </c>
      <c r="AV113" s="378" t="str">
        <f>IF($C113=0,"",'03 - Monthly Asset Follow up'!BD117+'03 - Monthly Asset Follow up'!BE117-'03 - Monthly Asset Follow up'!BT117+'03 - Monthly Asset Follow up'!BW117-AA113)</f>
        <v/>
      </c>
      <c r="AX113" s="154"/>
    </row>
    <row r="114" spans="2:50" x14ac:dyDescent="0.2">
      <c r="B114" s="753" t="str">
        <f t="shared" si="14"/>
        <v/>
      </c>
      <c r="C114" s="756">
        <f>'03 - Monthly Asset Follow up'!B118</f>
        <v>0</v>
      </c>
      <c r="D114" s="149"/>
      <c r="E114" s="749" t="str">
        <f>IF($C114=0,"",SUMIFS(INPUT_DATA!AU:AU,INPUT_DATA!$A:$A,$C114,INPUT_DATA!$C:$C,"S"))</f>
        <v/>
      </c>
      <c r="F114" s="761" t="str">
        <f>IF($C114=0,"",SUMIFS(INPUT_DATA!AV:AV,INPUT_DATA!$A:$A,$C114,INPUT_DATA!$C:$C,"S"))</f>
        <v/>
      </c>
      <c r="G114" s="761" t="str">
        <f>IF($C114=0,"",SUMIFS(INPUT_DATA!AW:AW,INPUT_DATA!$A:$A,$C114,INPUT_DATA!$C:$C,"S"))</f>
        <v/>
      </c>
      <c r="H114" s="763" t="str">
        <f t="shared" si="10"/>
        <v/>
      </c>
      <c r="I114" s="761" t="str">
        <f>IF($C114=0,"",SUMIFS(INPUT_DATA!AY:AY,INPUT_DATA!$A:$A,$C114,INPUT_DATA!$C:$C,"S"))</f>
        <v/>
      </c>
      <c r="J114" s="761" t="str">
        <f>IF($C114=0,"",SUMIFS(INPUT_DATA!AZ:AZ,INPUT_DATA!$A:$A,$C114,INPUT_DATA!$C:$C,"S"))</f>
        <v/>
      </c>
      <c r="K114" s="761" t="str">
        <f>IF($C114=0,"",SUMIFS(INPUT_DATA!BA:BA,INPUT_DATA!$A:$A,$C114,INPUT_DATA!$C:$C,"S"))</f>
        <v/>
      </c>
      <c r="L114" s="761" t="str">
        <f>IF($C114=0,"",SUMIFS(INPUT_DATA!BB:BB,INPUT_DATA!$A:$A,$C114,INPUT_DATA!$C:$C,"S"))</f>
        <v/>
      </c>
      <c r="M114" s="761" t="str">
        <f>IF($C114=0,"",SUMIFS(INPUT_DATA!BC:BC,INPUT_DATA!$A:$A,$C114,INPUT_DATA!$C:$C,"S"))</f>
        <v/>
      </c>
      <c r="N114" s="761" t="str">
        <f>IF($C114=0,"",SUMIFS(INPUT_DATA!BD:BD,INPUT_DATA!$A:$A,$C114,INPUT_DATA!$C:$C,"S"))</f>
        <v/>
      </c>
      <c r="O114" s="761" t="str">
        <f>IF($C114=0,"",SUMIFS(INPUT_DATA!BE:BE,INPUT_DATA!$A:$A,$C114,INPUT_DATA!$C:$C,"S"))</f>
        <v/>
      </c>
      <c r="P114" s="761" t="str">
        <f>IF($C114=0,"",SUMIFS(INPUT_DATA!BF:BF,INPUT_DATA!$A:$A,$C114,INPUT_DATA!$C:$C,"S"))</f>
        <v/>
      </c>
      <c r="Q114" s="767" t="str">
        <f t="shared" si="15"/>
        <v/>
      </c>
      <c r="R114" s="769" t="str">
        <f>IF($C114=0,"",SUMIFS(INPUT_DATA!BH:BH,INPUT_DATA!$A:$A,$C114,INPUT_DATA!$C:$C,"S"))</f>
        <v/>
      </c>
      <c r="S114" s="769" t="str">
        <f>IF($C114=0,"",SUMIFS(INPUT_DATA!BI:BI,INPUT_DATA!$A:$A,$C114,INPUT_DATA!$C:$C,"S"))</f>
        <v/>
      </c>
      <c r="T114" s="767" t="str">
        <f t="shared" si="16"/>
        <v/>
      </c>
      <c r="U114" s="772" t="str">
        <f>IF($C114=0,"",SUMIFS(INPUT_DATA!BL:BL,INPUT_DATA!$A:$A,$C114,INPUT_DATA!$C:$C,"S"))</f>
        <v/>
      </c>
      <c r="V114" s="155" t="str">
        <f t="shared" si="11"/>
        <v/>
      </c>
      <c r="W114" s="149"/>
      <c r="X114" s="749" t="str">
        <f>IF($C114=0,"",SUMIFS(INPUT_DATA!AU:AU,INPUT_DATA!$A:$A,$C114,INPUT_DATA!$C:$C,"D"))</f>
        <v/>
      </c>
      <c r="Y114" s="761" t="str">
        <f>IF($C114=0,"",SUMIFS(INPUT_DATA!AV:AV,INPUT_DATA!$A:$A,$C114,INPUT_DATA!$C:$C,"D"))</f>
        <v/>
      </c>
      <c r="Z114" s="761" t="str">
        <f>IF($C114=0,"",SUMIFS(INPUT_DATA!AW:AW,INPUT_DATA!$A:$A,$C114,INPUT_DATA!$C:$C,"D"))</f>
        <v/>
      </c>
      <c r="AA114" s="762" t="str">
        <f t="shared" si="12"/>
        <v/>
      </c>
      <c r="AB114" s="761" t="str">
        <f>IF($C114=0,"",SUMIFS(INPUT_DATA!AX:AX,INPUT_DATA!$A:$A,$C114,INPUT_DATA!$C:$C,"D"))</f>
        <v/>
      </c>
      <c r="AC114" s="761" t="str">
        <f>IF($C114=0,"",SUMIFS(INPUT_DATA!AY:AY,INPUT_DATA!$A:$A,$C114,INPUT_DATA!$C:$C,"D"))</f>
        <v/>
      </c>
      <c r="AD114" s="761" t="str">
        <f>IF($C114=0,"",SUMIFS(INPUT_DATA!AZ:AZ,INPUT_DATA!$A:$A,$C114,INPUT_DATA!$C:$C,"D"))</f>
        <v/>
      </c>
      <c r="AE114" s="761" t="str">
        <f>IF($C114=0,"",SUMIFS(INPUT_DATA!BA:BA,INPUT_DATA!$A:$A,$C114,INPUT_DATA!$C:$C,"D"))</f>
        <v/>
      </c>
      <c r="AF114" s="761" t="str">
        <f>IF($C114=0,"",SUMIFS(INPUT_DATA!BB:BB,INPUT_DATA!$A:$A,$C114,INPUT_DATA!$C:$C,"D"))</f>
        <v/>
      </c>
      <c r="AG114" s="761" t="str">
        <f>IF($C114=0,"",SUMIFS(INPUT_DATA!BC:BC,INPUT_DATA!$A:$A,$C114,INPUT_DATA!$C:$C,"D"))</f>
        <v/>
      </c>
      <c r="AH114" s="761" t="str">
        <f>IF($C114=0,"",SUMIFS(INPUT_DATA!BD:BD,INPUT_DATA!$A:$A,$C114,INPUT_DATA!$C:$C,"D"))</f>
        <v/>
      </c>
      <c r="AI114" s="761" t="str">
        <f>IF($C114=0,"",SUMIFS(INPUT_DATA!BE:BE,INPUT_DATA!$A:$A,$C114,INPUT_DATA!$C:$C,"D"))</f>
        <v/>
      </c>
      <c r="AJ114" s="314" t="str">
        <f t="shared" si="13"/>
        <v/>
      </c>
      <c r="AK114" s="769" t="str">
        <f>IF($C114=0,"",SUMIFS(INPUT_DATA!BG:BG,INPUT_DATA!$A:$A,$C114,INPUT_DATA!$C:$C,"D"))</f>
        <v/>
      </c>
      <c r="AL114" s="769" t="str">
        <f>IF($C114=0,"",SUMIFS(INPUT_DATA!BH:BH,INPUT_DATA!$A:$A,$C114,INPUT_DATA!$C:$C,"D"))</f>
        <v/>
      </c>
      <c r="AM114" s="769" t="str">
        <f>IF($C114=0,"",SUMIFS(INPUT_DATA!BI:BI,INPUT_DATA!$A:$A,$C114,INPUT_DATA!$C:$C,"D"))</f>
        <v/>
      </c>
      <c r="AN114" s="767" t="str">
        <f t="shared" si="17"/>
        <v/>
      </c>
      <c r="AO114" s="772" t="str">
        <f>IF($C114=0,"",SUMIFS(INPUT_DATA!BK:BK,INPUT_DATA!$A:$A,$C114,INPUT_DATA!$C:$C,"D"))</f>
        <v/>
      </c>
      <c r="AP114" s="354" t="str">
        <f t="shared" si="18"/>
        <v/>
      </c>
      <c r="AQ114" s="149"/>
      <c r="AS114" s="354" t="str">
        <f t="shared" si="19"/>
        <v/>
      </c>
      <c r="AU114" s="378" t="str">
        <f>IF($C114=0,"",'03 - Monthly Asset Follow up'!E118+'03 - Monthly Asset Follow up'!F118-'03 - Monthly Asset Follow up'!U118+'03 - Monthly Asset Follow up'!X118-H114)</f>
        <v/>
      </c>
      <c r="AV114" s="378" t="str">
        <f>IF($C114=0,"",'03 - Monthly Asset Follow up'!BD118+'03 - Monthly Asset Follow up'!BE118-'03 - Monthly Asset Follow up'!BT118+'03 - Monthly Asset Follow up'!BW118-AA114)</f>
        <v/>
      </c>
      <c r="AX114" s="154"/>
    </row>
    <row r="115" spans="2:50" x14ac:dyDescent="0.2">
      <c r="B115" s="753" t="str">
        <f t="shared" si="14"/>
        <v/>
      </c>
      <c r="C115" s="756">
        <f>'03 - Monthly Asset Follow up'!B119</f>
        <v>0</v>
      </c>
      <c r="D115" s="149"/>
      <c r="E115" s="749" t="str">
        <f>IF($C115=0,"",SUMIFS(INPUT_DATA!AU:AU,INPUT_DATA!$A:$A,$C115,INPUT_DATA!$C:$C,"S"))</f>
        <v/>
      </c>
      <c r="F115" s="761" t="str">
        <f>IF($C115=0,"",SUMIFS(INPUT_DATA!AV:AV,INPUT_DATA!$A:$A,$C115,INPUT_DATA!$C:$C,"S"))</f>
        <v/>
      </c>
      <c r="G115" s="761" t="str">
        <f>IF($C115=0,"",SUMIFS(INPUT_DATA!AW:AW,INPUT_DATA!$A:$A,$C115,INPUT_DATA!$C:$C,"S"))</f>
        <v/>
      </c>
      <c r="H115" s="763" t="str">
        <f t="shared" si="10"/>
        <v/>
      </c>
      <c r="I115" s="761" t="str">
        <f>IF($C115=0,"",SUMIFS(INPUT_DATA!AY:AY,INPUT_DATA!$A:$A,$C115,INPUT_DATA!$C:$C,"S"))</f>
        <v/>
      </c>
      <c r="J115" s="761" t="str">
        <f>IF($C115=0,"",SUMIFS(INPUT_DATA!AZ:AZ,INPUT_DATA!$A:$A,$C115,INPUT_DATA!$C:$C,"S"))</f>
        <v/>
      </c>
      <c r="K115" s="761" t="str">
        <f>IF($C115=0,"",SUMIFS(INPUT_DATA!BA:BA,INPUT_DATA!$A:$A,$C115,INPUT_DATA!$C:$C,"S"))</f>
        <v/>
      </c>
      <c r="L115" s="761" t="str">
        <f>IF($C115=0,"",SUMIFS(INPUT_DATA!BB:BB,INPUT_DATA!$A:$A,$C115,INPUT_DATA!$C:$C,"S"))</f>
        <v/>
      </c>
      <c r="M115" s="761" t="str">
        <f>IF($C115=0,"",SUMIFS(INPUT_DATA!BC:BC,INPUT_DATA!$A:$A,$C115,INPUT_DATA!$C:$C,"S"))</f>
        <v/>
      </c>
      <c r="N115" s="761" t="str">
        <f>IF($C115=0,"",SUMIFS(INPUT_DATA!BD:BD,INPUT_DATA!$A:$A,$C115,INPUT_DATA!$C:$C,"S"))</f>
        <v/>
      </c>
      <c r="O115" s="761" t="str">
        <f>IF($C115=0,"",SUMIFS(INPUT_DATA!BE:BE,INPUT_DATA!$A:$A,$C115,INPUT_DATA!$C:$C,"S"))</f>
        <v/>
      </c>
      <c r="P115" s="761" t="str">
        <f>IF($C115=0,"",SUMIFS(INPUT_DATA!BF:BF,INPUT_DATA!$A:$A,$C115,INPUT_DATA!$C:$C,"S"))</f>
        <v/>
      </c>
      <c r="Q115" s="767" t="str">
        <f t="shared" si="15"/>
        <v/>
      </c>
      <c r="R115" s="769" t="str">
        <f>IF($C115=0,"",SUMIFS(INPUT_DATA!BH:BH,INPUT_DATA!$A:$A,$C115,INPUT_DATA!$C:$C,"S"))</f>
        <v/>
      </c>
      <c r="S115" s="769" t="str">
        <f>IF($C115=0,"",SUMIFS(INPUT_DATA!BI:BI,INPUT_DATA!$A:$A,$C115,INPUT_DATA!$C:$C,"S"))</f>
        <v/>
      </c>
      <c r="T115" s="767" t="str">
        <f t="shared" si="16"/>
        <v/>
      </c>
      <c r="U115" s="772" t="str">
        <f>IF($C115=0,"",SUMIFS(INPUT_DATA!BL:BL,INPUT_DATA!$A:$A,$C115,INPUT_DATA!$C:$C,"S"))</f>
        <v/>
      </c>
      <c r="V115" s="155" t="str">
        <f t="shared" si="11"/>
        <v/>
      </c>
      <c r="W115" s="149"/>
      <c r="X115" s="749" t="str">
        <f>IF($C115=0,"",SUMIFS(INPUT_DATA!AU:AU,INPUT_DATA!$A:$A,$C115,INPUT_DATA!$C:$C,"D"))</f>
        <v/>
      </c>
      <c r="Y115" s="761" t="str">
        <f>IF($C115=0,"",SUMIFS(INPUT_DATA!AV:AV,INPUT_DATA!$A:$A,$C115,INPUT_DATA!$C:$C,"D"))</f>
        <v/>
      </c>
      <c r="Z115" s="761" t="str">
        <f>IF($C115=0,"",SUMIFS(INPUT_DATA!AW:AW,INPUT_DATA!$A:$A,$C115,INPUT_DATA!$C:$C,"D"))</f>
        <v/>
      </c>
      <c r="AA115" s="762" t="str">
        <f t="shared" si="12"/>
        <v/>
      </c>
      <c r="AB115" s="761" t="str">
        <f>IF($C115=0,"",SUMIFS(INPUT_DATA!AX:AX,INPUT_DATA!$A:$A,$C115,INPUT_DATA!$C:$C,"D"))</f>
        <v/>
      </c>
      <c r="AC115" s="761" t="str">
        <f>IF($C115=0,"",SUMIFS(INPUT_DATA!AY:AY,INPUT_DATA!$A:$A,$C115,INPUT_DATA!$C:$C,"D"))</f>
        <v/>
      </c>
      <c r="AD115" s="761" t="str">
        <f>IF($C115=0,"",SUMIFS(INPUT_DATA!AZ:AZ,INPUT_DATA!$A:$A,$C115,INPUT_DATA!$C:$C,"D"))</f>
        <v/>
      </c>
      <c r="AE115" s="761" t="str">
        <f>IF($C115=0,"",SUMIFS(INPUT_DATA!BA:BA,INPUT_DATA!$A:$A,$C115,INPUT_DATA!$C:$C,"D"))</f>
        <v/>
      </c>
      <c r="AF115" s="761" t="str">
        <f>IF($C115=0,"",SUMIFS(INPUT_DATA!BB:BB,INPUT_DATA!$A:$A,$C115,INPUT_DATA!$C:$C,"D"))</f>
        <v/>
      </c>
      <c r="AG115" s="761" t="str">
        <f>IF($C115=0,"",SUMIFS(INPUT_DATA!BC:BC,INPUT_DATA!$A:$A,$C115,INPUT_DATA!$C:$C,"D"))</f>
        <v/>
      </c>
      <c r="AH115" s="761" t="str">
        <f>IF($C115=0,"",SUMIFS(INPUT_DATA!BD:BD,INPUT_DATA!$A:$A,$C115,INPUT_DATA!$C:$C,"D"))</f>
        <v/>
      </c>
      <c r="AI115" s="761" t="str">
        <f>IF($C115=0,"",SUMIFS(INPUT_DATA!BE:BE,INPUT_DATA!$A:$A,$C115,INPUT_DATA!$C:$C,"D"))</f>
        <v/>
      </c>
      <c r="AJ115" s="314" t="str">
        <f t="shared" si="13"/>
        <v/>
      </c>
      <c r="AK115" s="769" t="str">
        <f>IF($C115=0,"",SUMIFS(INPUT_DATA!BG:BG,INPUT_DATA!$A:$A,$C115,INPUT_DATA!$C:$C,"D"))</f>
        <v/>
      </c>
      <c r="AL115" s="769" t="str">
        <f>IF($C115=0,"",SUMIFS(INPUT_DATA!BH:BH,INPUT_DATA!$A:$A,$C115,INPUT_DATA!$C:$C,"D"))</f>
        <v/>
      </c>
      <c r="AM115" s="769" t="str">
        <f>IF($C115=0,"",SUMIFS(INPUT_DATA!BI:BI,INPUT_DATA!$A:$A,$C115,INPUT_DATA!$C:$C,"D"))</f>
        <v/>
      </c>
      <c r="AN115" s="767" t="str">
        <f t="shared" si="17"/>
        <v/>
      </c>
      <c r="AO115" s="772" t="str">
        <f>IF($C115=0,"",SUMIFS(INPUT_DATA!BK:BK,INPUT_DATA!$A:$A,$C115,INPUT_DATA!$C:$C,"D"))</f>
        <v/>
      </c>
      <c r="AP115" s="354" t="str">
        <f t="shared" si="18"/>
        <v/>
      </c>
      <c r="AQ115" s="149"/>
      <c r="AS115" s="354" t="str">
        <f t="shared" si="19"/>
        <v/>
      </c>
      <c r="AU115" s="378" t="str">
        <f>IF($C115=0,"",'03 - Monthly Asset Follow up'!E119+'03 - Monthly Asset Follow up'!F119-'03 - Monthly Asset Follow up'!U119+'03 - Monthly Asset Follow up'!X119-H115)</f>
        <v/>
      </c>
      <c r="AV115" s="378" t="str">
        <f>IF($C115=0,"",'03 - Monthly Asset Follow up'!BD119+'03 - Monthly Asset Follow up'!BE119-'03 - Monthly Asset Follow up'!BT119+'03 - Monthly Asset Follow up'!BW119-AA115)</f>
        <v/>
      </c>
      <c r="AX115" s="154"/>
    </row>
    <row r="116" spans="2:50" x14ac:dyDescent="0.2">
      <c r="B116" s="753" t="str">
        <f t="shared" si="14"/>
        <v/>
      </c>
      <c r="C116" s="756">
        <f>'03 - Monthly Asset Follow up'!B120</f>
        <v>0</v>
      </c>
      <c r="D116" s="149"/>
      <c r="E116" s="749" t="str">
        <f>IF($C116=0,"",SUMIFS(INPUT_DATA!AU:AU,INPUT_DATA!$A:$A,$C116,INPUT_DATA!$C:$C,"S"))</f>
        <v/>
      </c>
      <c r="F116" s="761" t="str">
        <f>IF($C116=0,"",SUMIFS(INPUT_DATA!AV:AV,INPUT_DATA!$A:$A,$C116,INPUT_DATA!$C:$C,"S"))</f>
        <v/>
      </c>
      <c r="G116" s="761" t="str">
        <f>IF($C116=0,"",SUMIFS(INPUT_DATA!AW:AW,INPUT_DATA!$A:$A,$C116,INPUT_DATA!$C:$C,"S"))</f>
        <v/>
      </c>
      <c r="H116" s="763" t="str">
        <f t="shared" si="10"/>
        <v/>
      </c>
      <c r="I116" s="761" t="str">
        <f>IF($C116=0,"",SUMIFS(INPUT_DATA!AY:AY,INPUT_DATA!$A:$A,$C116,INPUT_DATA!$C:$C,"S"))</f>
        <v/>
      </c>
      <c r="J116" s="761" t="str">
        <f>IF($C116=0,"",SUMIFS(INPUT_DATA!AZ:AZ,INPUT_DATA!$A:$A,$C116,INPUT_DATA!$C:$C,"S"))</f>
        <v/>
      </c>
      <c r="K116" s="761" t="str">
        <f>IF($C116=0,"",SUMIFS(INPUT_DATA!BA:BA,INPUT_DATA!$A:$A,$C116,INPUT_DATA!$C:$C,"S"))</f>
        <v/>
      </c>
      <c r="L116" s="761" t="str">
        <f>IF($C116=0,"",SUMIFS(INPUT_DATA!BB:BB,INPUT_DATA!$A:$A,$C116,INPUT_DATA!$C:$C,"S"))</f>
        <v/>
      </c>
      <c r="M116" s="761" t="str">
        <f>IF($C116=0,"",SUMIFS(INPUT_DATA!BC:BC,INPUT_DATA!$A:$A,$C116,INPUT_DATA!$C:$C,"S"))</f>
        <v/>
      </c>
      <c r="N116" s="761" t="str">
        <f>IF($C116=0,"",SUMIFS(INPUT_DATA!BD:BD,INPUT_DATA!$A:$A,$C116,INPUT_DATA!$C:$C,"S"))</f>
        <v/>
      </c>
      <c r="O116" s="761" t="str">
        <f>IF($C116=0,"",SUMIFS(INPUT_DATA!BE:BE,INPUT_DATA!$A:$A,$C116,INPUT_DATA!$C:$C,"S"))</f>
        <v/>
      </c>
      <c r="P116" s="761" t="str">
        <f>IF($C116=0,"",SUMIFS(INPUT_DATA!BF:BF,INPUT_DATA!$A:$A,$C116,INPUT_DATA!$C:$C,"S"))</f>
        <v/>
      </c>
      <c r="Q116" s="767" t="str">
        <f t="shared" si="15"/>
        <v/>
      </c>
      <c r="R116" s="769" t="str">
        <f>IF($C116=0,"",SUMIFS(INPUT_DATA!BH:BH,INPUT_DATA!$A:$A,$C116,INPUT_DATA!$C:$C,"S"))</f>
        <v/>
      </c>
      <c r="S116" s="769" t="str">
        <f>IF($C116=0,"",SUMIFS(INPUT_DATA!BI:BI,INPUT_DATA!$A:$A,$C116,INPUT_DATA!$C:$C,"S"))</f>
        <v/>
      </c>
      <c r="T116" s="767" t="str">
        <f t="shared" si="16"/>
        <v/>
      </c>
      <c r="U116" s="772" t="str">
        <f>IF($C116=0,"",SUMIFS(INPUT_DATA!BL:BL,INPUT_DATA!$A:$A,$C116,INPUT_DATA!$C:$C,"S"))</f>
        <v/>
      </c>
      <c r="V116" s="155" t="str">
        <f t="shared" si="11"/>
        <v/>
      </c>
      <c r="W116" s="149"/>
      <c r="X116" s="749" t="str">
        <f>IF($C116=0,"",SUMIFS(INPUT_DATA!AU:AU,INPUT_DATA!$A:$A,$C116,INPUT_DATA!$C:$C,"D"))</f>
        <v/>
      </c>
      <c r="Y116" s="761" t="str">
        <f>IF($C116=0,"",SUMIFS(INPUT_DATA!AV:AV,INPUT_DATA!$A:$A,$C116,INPUT_DATA!$C:$C,"D"))</f>
        <v/>
      </c>
      <c r="Z116" s="761" t="str">
        <f>IF($C116=0,"",SUMIFS(INPUT_DATA!AW:AW,INPUT_DATA!$A:$A,$C116,INPUT_DATA!$C:$C,"D"))</f>
        <v/>
      </c>
      <c r="AA116" s="762" t="str">
        <f t="shared" si="12"/>
        <v/>
      </c>
      <c r="AB116" s="761" t="str">
        <f>IF($C116=0,"",SUMIFS(INPUT_DATA!AX:AX,INPUT_DATA!$A:$A,$C116,INPUT_DATA!$C:$C,"D"))</f>
        <v/>
      </c>
      <c r="AC116" s="761" t="str">
        <f>IF($C116=0,"",SUMIFS(INPUT_DATA!AY:AY,INPUT_DATA!$A:$A,$C116,INPUT_DATA!$C:$C,"D"))</f>
        <v/>
      </c>
      <c r="AD116" s="761" t="str">
        <f>IF($C116=0,"",SUMIFS(INPUT_DATA!AZ:AZ,INPUT_DATA!$A:$A,$C116,INPUT_DATA!$C:$C,"D"))</f>
        <v/>
      </c>
      <c r="AE116" s="761" t="str">
        <f>IF($C116=0,"",SUMIFS(INPUT_DATA!BA:BA,INPUT_DATA!$A:$A,$C116,INPUT_DATA!$C:$C,"D"))</f>
        <v/>
      </c>
      <c r="AF116" s="761" t="str">
        <f>IF($C116=0,"",SUMIFS(INPUT_DATA!BB:BB,INPUT_DATA!$A:$A,$C116,INPUT_DATA!$C:$C,"D"))</f>
        <v/>
      </c>
      <c r="AG116" s="761" t="str">
        <f>IF($C116=0,"",SUMIFS(INPUT_DATA!BC:BC,INPUT_DATA!$A:$A,$C116,INPUT_DATA!$C:$C,"D"))</f>
        <v/>
      </c>
      <c r="AH116" s="761" t="str">
        <f>IF($C116=0,"",SUMIFS(INPUT_DATA!BD:BD,INPUT_DATA!$A:$A,$C116,INPUT_DATA!$C:$C,"D"))</f>
        <v/>
      </c>
      <c r="AI116" s="761" t="str">
        <f>IF($C116=0,"",SUMIFS(INPUT_DATA!BE:BE,INPUT_DATA!$A:$A,$C116,INPUT_DATA!$C:$C,"D"))</f>
        <v/>
      </c>
      <c r="AJ116" s="314" t="str">
        <f t="shared" si="13"/>
        <v/>
      </c>
      <c r="AK116" s="769" t="str">
        <f>IF($C116=0,"",SUMIFS(INPUT_DATA!BG:BG,INPUT_DATA!$A:$A,$C116,INPUT_DATA!$C:$C,"D"))</f>
        <v/>
      </c>
      <c r="AL116" s="769" t="str">
        <f>IF($C116=0,"",SUMIFS(INPUT_DATA!BH:BH,INPUT_DATA!$A:$A,$C116,INPUT_DATA!$C:$C,"D"))</f>
        <v/>
      </c>
      <c r="AM116" s="769" t="str">
        <f>IF($C116=0,"",SUMIFS(INPUT_DATA!BI:BI,INPUT_DATA!$A:$A,$C116,INPUT_DATA!$C:$C,"D"))</f>
        <v/>
      </c>
      <c r="AN116" s="767" t="str">
        <f t="shared" si="17"/>
        <v/>
      </c>
      <c r="AO116" s="772" t="str">
        <f>IF($C116=0,"",SUMIFS(INPUT_DATA!BK:BK,INPUT_DATA!$A:$A,$C116,INPUT_DATA!$C:$C,"D"))</f>
        <v/>
      </c>
      <c r="AP116" s="354" t="str">
        <f t="shared" si="18"/>
        <v/>
      </c>
      <c r="AQ116" s="149"/>
      <c r="AS116" s="354" t="str">
        <f t="shared" si="19"/>
        <v/>
      </c>
      <c r="AU116" s="378" t="str">
        <f>IF($C116=0,"",'03 - Monthly Asset Follow up'!E120+'03 - Monthly Asset Follow up'!F120-'03 - Monthly Asset Follow up'!U120+'03 - Monthly Asset Follow up'!X120-H116)</f>
        <v/>
      </c>
      <c r="AV116" s="378" t="str">
        <f>IF($C116=0,"",'03 - Monthly Asset Follow up'!BD120+'03 - Monthly Asset Follow up'!BE120-'03 - Monthly Asset Follow up'!BT120+'03 - Monthly Asset Follow up'!BW120-AA116)</f>
        <v/>
      </c>
      <c r="AX116" s="154"/>
    </row>
    <row r="117" spans="2:50" x14ac:dyDescent="0.2">
      <c r="B117" s="753" t="str">
        <f t="shared" si="14"/>
        <v/>
      </c>
      <c r="C117" s="756">
        <f>'03 - Monthly Asset Follow up'!B121</f>
        <v>0</v>
      </c>
      <c r="D117" s="149"/>
      <c r="E117" s="749" t="str">
        <f>IF($C117=0,"",SUMIFS(INPUT_DATA!AU:AU,INPUT_DATA!$A:$A,$C117,INPUT_DATA!$C:$C,"S"))</f>
        <v/>
      </c>
      <c r="F117" s="761" t="str">
        <f>IF($C117=0,"",SUMIFS(INPUT_DATA!AV:AV,INPUT_DATA!$A:$A,$C117,INPUT_DATA!$C:$C,"S"))</f>
        <v/>
      </c>
      <c r="G117" s="761" t="str">
        <f>IF($C117=0,"",SUMIFS(INPUT_DATA!AW:AW,INPUT_DATA!$A:$A,$C117,INPUT_DATA!$C:$C,"S"))</f>
        <v/>
      </c>
      <c r="H117" s="763" t="str">
        <f t="shared" si="10"/>
        <v/>
      </c>
      <c r="I117" s="761" t="str">
        <f>IF($C117=0,"",SUMIFS(INPUT_DATA!AY:AY,INPUT_DATA!$A:$A,$C117,INPUT_DATA!$C:$C,"S"))</f>
        <v/>
      </c>
      <c r="J117" s="761" t="str">
        <f>IF($C117=0,"",SUMIFS(INPUT_DATA!AZ:AZ,INPUT_DATA!$A:$A,$C117,INPUT_DATA!$C:$C,"S"))</f>
        <v/>
      </c>
      <c r="K117" s="761" t="str">
        <f>IF($C117=0,"",SUMIFS(INPUT_DATA!BA:BA,INPUT_DATA!$A:$A,$C117,INPUT_DATA!$C:$C,"S"))</f>
        <v/>
      </c>
      <c r="L117" s="761" t="str">
        <f>IF($C117=0,"",SUMIFS(INPUT_DATA!BB:BB,INPUT_DATA!$A:$A,$C117,INPUT_DATA!$C:$C,"S"))</f>
        <v/>
      </c>
      <c r="M117" s="761" t="str">
        <f>IF($C117=0,"",SUMIFS(INPUT_DATA!BC:BC,INPUT_DATA!$A:$A,$C117,INPUT_DATA!$C:$C,"S"))</f>
        <v/>
      </c>
      <c r="N117" s="761" t="str">
        <f>IF($C117=0,"",SUMIFS(INPUT_DATA!BD:BD,INPUT_DATA!$A:$A,$C117,INPUT_DATA!$C:$C,"S"))</f>
        <v/>
      </c>
      <c r="O117" s="761" t="str">
        <f>IF($C117=0,"",SUMIFS(INPUT_DATA!BE:BE,INPUT_DATA!$A:$A,$C117,INPUT_DATA!$C:$C,"S"))</f>
        <v/>
      </c>
      <c r="P117" s="761" t="str">
        <f>IF($C117=0,"",SUMIFS(INPUT_DATA!BF:BF,INPUT_DATA!$A:$A,$C117,INPUT_DATA!$C:$C,"S"))</f>
        <v/>
      </c>
      <c r="Q117" s="767" t="str">
        <f t="shared" si="15"/>
        <v/>
      </c>
      <c r="R117" s="769" t="str">
        <f>IF($C117=0,"",SUMIFS(INPUT_DATA!BH:BH,INPUT_DATA!$A:$A,$C117,INPUT_DATA!$C:$C,"S"))</f>
        <v/>
      </c>
      <c r="S117" s="769" t="str">
        <f>IF($C117=0,"",SUMIFS(INPUT_DATA!BI:BI,INPUT_DATA!$A:$A,$C117,INPUT_DATA!$C:$C,"S"))</f>
        <v/>
      </c>
      <c r="T117" s="767" t="str">
        <f t="shared" si="16"/>
        <v/>
      </c>
      <c r="U117" s="772" t="str">
        <f>IF($C117=0,"",SUMIFS(INPUT_DATA!BL:BL,INPUT_DATA!$A:$A,$C117,INPUT_DATA!$C:$C,"S"))</f>
        <v/>
      </c>
      <c r="V117" s="155" t="str">
        <f t="shared" si="11"/>
        <v/>
      </c>
      <c r="W117" s="149"/>
      <c r="X117" s="749" t="str">
        <f>IF($C117=0,"",SUMIFS(INPUT_DATA!AU:AU,INPUT_DATA!$A:$A,$C117,INPUT_DATA!$C:$C,"D"))</f>
        <v/>
      </c>
      <c r="Y117" s="761" t="str">
        <f>IF($C117=0,"",SUMIFS(INPUT_DATA!AV:AV,INPUT_DATA!$A:$A,$C117,INPUT_DATA!$C:$C,"D"))</f>
        <v/>
      </c>
      <c r="Z117" s="761" t="str">
        <f>IF($C117=0,"",SUMIFS(INPUT_DATA!AW:AW,INPUT_DATA!$A:$A,$C117,INPUT_DATA!$C:$C,"D"))</f>
        <v/>
      </c>
      <c r="AA117" s="762" t="str">
        <f t="shared" si="12"/>
        <v/>
      </c>
      <c r="AB117" s="761" t="str">
        <f>IF($C117=0,"",SUMIFS(INPUT_DATA!AX:AX,INPUT_DATA!$A:$A,$C117,INPUT_DATA!$C:$C,"D"))</f>
        <v/>
      </c>
      <c r="AC117" s="761" t="str">
        <f>IF($C117=0,"",SUMIFS(INPUT_DATA!AY:AY,INPUT_DATA!$A:$A,$C117,INPUT_DATA!$C:$C,"D"))</f>
        <v/>
      </c>
      <c r="AD117" s="761" t="str">
        <f>IF($C117=0,"",SUMIFS(INPUT_DATA!AZ:AZ,INPUT_DATA!$A:$A,$C117,INPUT_DATA!$C:$C,"D"))</f>
        <v/>
      </c>
      <c r="AE117" s="761" t="str">
        <f>IF($C117=0,"",SUMIFS(INPUT_DATA!BA:BA,INPUT_DATA!$A:$A,$C117,INPUT_DATA!$C:$C,"D"))</f>
        <v/>
      </c>
      <c r="AF117" s="761" t="str">
        <f>IF($C117=0,"",SUMIFS(INPUT_DATA!BB:BB,INPUT_DATA!$A:$A,$C117,INPUT_DATA!$C:$C,"D"))</f>
        <v/>
      </c>
      <c r="AG117" s="761" t="str">
        <f>IF($C117=0,"",SUMIFS(INPUT_DATA!BC:BC,INPUT_DATA!$A:$A,$C117,INPUT_DATA!$C:$C,"D"))</f>
        <v/>
      </c>
      <c r="AH117" s="761" t="str">
        <f>IF($C117=0,"",SUMIFS(INPUT_DATA!BD:BD,INPUT_DATA!$A:$A,$C117,INPUT_DATA!$C:$C,"D"))</f>
        <v/>
      </c>
      <c r="AI117" s="761" t="str">
        <f>IF($C117=0,"",SUMIFS(INPUT_DATA!BE:BE,INPUT_DATA!$A:$A,$C117,INPUT_DATA!$C:$C,"D"))</f>
        <v/>
      </c>
      <c r="AJ117" s="314" t="str">
        <f t="shared" si="13"/>
        <v/>
      </c>
      <c r="AK117" s="769" t="str">
        <f>IF($C117=0,"",SUMIFS(INPUT_DATA!BG:BG,INPUT_DATA!$A:$A,$C117,INPUT_DATA!$C:$C,"D"))</f>
        <v/>
      </c>
      <c r="AL117" s="769" t="str">
        <f>IF($C117=0,"",SUMIFS(INPUT_DATA!BH:BH,INPUT_DATA!$A:$A,$C117,INPUT_DATA!$C:$C,"D"))</f>
        <v/>
      </c>
      <c r="AM117" s="769" t="str">
        <f>IF($C117=0,"",SUMIFS(INPUT_DATA!BI:BI,INPUT_DATA!$A:$A,$C117,INPUT_DATA!$C:$C,"D"))</f>
        <v/>
      </c>
      <c r="AN117" s="767" t="str">
        <f t="shared" si="17"/>
        <v/>
      </c>
      <c r="AO117" s="772" t="str">
        <f>IF($C117=0,"",SUMIFS(INPUT_DATA!BK:BK,INPUT_DATA!$A:$A,$C117,INPUT_DATA!$C:$C,"D"))</f>
        <v/>
      </c>
      <c r="AP117" s="354" t="str">
        <f t="shared" si="18"/>
        <v/>
      </c>
      <c r="AQ117" s="149"/>
      <c r="AS117" s="354" t="str">
        <f t="shared" si="19"/>
        <v/>
      </c>
      <c r="AU117" s="378" t="str">
        <f>IF($C117=0,"",'03 - Monthly Asset Follow up'!E121+'03 - Monthly Asset Follow up'!F121-'03 - Monthly Asset Follow up'!U121+'03 - Monthly Asset Follow up'!X121-H117)</f>
        <v/>
      </c>
      <c r="AV117" s="378" t="str">
        <f>IF($C117=0,"",'03 - Monthly Asset Follow up'!BD121+'03 - Monthly Asset Follow up'!BE121-'03 - Monthly Asset Follow up'!BT121+'03 - Monthly Asset Follow up'!BW121-AA117)</f>
        <v/>
      </c>
      <c r="AX117" s="154"/>
    </row>
    <row r="118" spans="2:50" x14ac:dyDescent="0.2">
      <c r="B118" s="753" t="str">
        <f t="shared" si="14"/>
        <v/>
      </c>
      <c r="C118" s="756">
        <f>'03 - Monthly Asset Follow up'!B122</f>
        <v>0</v>
      </c>
      <c r="D118" s="149"/>
      <c r="E118" s="749" t="str">
        <f>IF($C118=0,"",SUMIFS(INPUT_DATA!AU:AU,INPUT_DATA!$A:$A,$C118,INPUT_DATA!$C:$C,"S"))</f>
        <v/>
      </c>
      <c r="F118" s="761" t="str">
        <f>IF($C118=0,"",SUMIFS(INPUT_DATA!AV:AV,INPUT_DATA!$A:$A,$C118,INPUT_DATA!$C:$C,"S"))</f>
        <v/>
      </c>
      <c r="G118" s="761" t="str">
        <f>IF($C118=0,"",SUMIFS(INPUT_DATA!AW:AW,INPUT_DATA!$A:$A,$C118,INPUT_DATA!$C:$C,"S"))</f>
        <v/>
      </c>
      <c r="H118" s="763" t="str">
        <f t="shared" si="10"/>
        <v/>
      </c>
      <c r="I118" s="761" t="str">
        <f>IF($C118=0,"",SUMIFS(INPUT_DATA!AY:AY,INPUT_DATA!$A:$A,$C118,INPUT_DATA!$C:$C,"S"))</f>
        <v/>
      </c>
      <c r="J118" s="761" t="str">
        <f>IF($C118=0,"",SUMIFS(INPUT_DATA!AZ:AZ,INPUT_DATA!$A:$A,$C118,INPUT_DATA!$C:$C,"S"))</f>
        <v/>
      </c>
      <c r="K118" s="761" t="str">
        <f>IF($C118=0,"",SUMIFS(INPUT_DATA!BA:BA,INPUT_DATA!$A:$A,$C118,INPUT_DATA!$C:$C,"S"))</f>
        <v/>
      </c>
      <c r="L118" s="761" t="str">
        <f>IF($C118=0,"",SUMIFS(INPUT_DATA!BB:BB,INPUT_DATA!$A:$A,$C118,INPUT_DATA!$C:$C,"S"))</f>
        <v/>
      </c>
      <c r="M118" s="761" t="str">
        <f>IF($C118=0,"",SUMIFS(INPUT_DATA!BC:BC,INPUT_DATA!$A:$A,$C118,INPUT_DATA!$C:$C,"S"))</f>
        <v/>
      </c>
      <c r="N118" s="761" t="str">
        <f>IF($C118=0,"",SUMIFS(INPUT_DATA!BD:BD,INPUT_DATA!$A:$A,$C118,INPUT_DATA!$C:$C,"S"))</f>
        <v/>
      </c>
      <c r="O118" s="761" t="str">
        <f>IF($C118=0,"",SUMIFS(INPUT_DATA!BE:BE,INPUT_DATA!$A:$A,$C118,INPUT_DATA!$C:$C,"S"))</f>
        <v/>
      </c>
      <c r="P118" s="761" t="str">
        <f>IF($C118=0,"",SUMIFS(INPUT_DATA!BF:BF,INPUT_DATA!$A:$A,$C118,INPUT_DATA!$C:$C,"S"))</f>
        <v/>
      </c>
      <c r="Q118" s="767" t="str">
        <f t="shared" si="15"/>
        <v/>
      </c>
      <c r="R118" s="769" t="str">
        <f>IF($C118=0,"",SUMIFS(INPUT_DATA!BH:BH,INPUT_DATA!$A:$A,$C118,INPUT_DATA!$C:$C,"S"))</f>
        <v/>
      </c>
      <c r="S118" s="769" t="str">
        <f>IF($C118=0,"",SUMIFS(INPUT_DATA!BI:BI,INPUT_DATA!$A:$A,$C118,INPUT_DATA!$C:$C,"S"))</f>
        <v/>
      </c>
      <c r="T118" s="767" t="str">
        <f t="shared" si="16"/>
        <v/>
      </c>
      <c r="U118" s="772" t="str">
        <f>IF($C118=0,"",SUMIFS(INPUT_DATA!BL:BL,INPUT_DATA!$A:$A,$C118,INPUT_DATA!$C:$C,"S"))</f>
        <v/>
      </c>
      <c r="V118" s="155" t="str">
        <f t="shared" si="11"/>
        <v/>
      </c>
      <c r="W118" s="149"/>
      <c r="X118" s="749" t="str">
        <f>IF($C118=0,"",SUMIFS(INPUT_DATA!AU:AU,INPUT_DATA!$A:$A,$C118,INPUT_DATA!$C:$C,"D"))</f>
        <v/>
      </c>
      <c r="Y118" s="761" t="str">
        <f>IF($C118=0,"",SUMIFS(INPUT_DATA!AV:AV,INPUT_DATA!$A:$A,$C118,INPUT_DATA!$C:$C,"D"))</f>
        <v/>
      </c>
      <c r="Z118" s="761" t="str">
        <f>IF($C118=0,"",SUMIFS(INPUT_DATA!AW:AW,INPUT_DATA!$A:$A,$C118,INPUT_DATA!$C:$C,"D"))</f>
        <v/>
      </c>
      <c r="AA118" s="762" t="str">
        <f t="shared" si="12"/>
        <v/>
      </c>
      <c r="AB118" s="761" t="str">
        <f>IF($C118=0,"",SUMIFS(INPUT_DATA!AX:AX,INPUT_DATA!$A:$A,$C118,INPUT_DATA!$C:$C,"D"))</f>
        <v/>
      </c>
      <c r="AC118" s="761" t="str">
        <f>IF($C118=0,"",SUMIFS(INPUT_DATA!AY:AY,INPUT_DATA!$A:$A,$C118,INPUT_DATA!$C:$C,"D"))</f>
        <v/>
      </c>
      <c r="AD118" s="761" t="str">
        <f>IF($C118=0,"",SUMIFS(INPUT_DATA!AZ:AZ,INPUT_DATA!$A:$A,$C118,INPUT_DATA!$C:$C,"D"))</f>
        <v/>
      </c>
      <c r="AE118" s="761" t="str">
        <f>IF($C118=0,"",SUMIFS(INPUT_DATA!BA:BA,INPUT_DATA!$A:$A,$C118,INPUT_DATA!$C:$C,"D"))</f>
        <v/>
      </c>
      <c r="AF118" s="761" t="str">
        <f>IF($C118=0,"",SUMIFS(INPUT_DATA!BB:BB,INPUT_DATA!$A:$A,$C118,INPUT_DATA!$C:$C,"D"))</f>
        <v/>
      </c>
      <c r="AG118" s="761" t="str">
        <f>IF($C118=0,"",SUMIFS(INPUT_DATA!BC:BC,INPUT_DATA!$A:$A,$C118,INPUT_DATA!$C:$C,"D"))</f>
        <v/>
      </c>
      <c r="AH118" s="761" t="str">
        <f>IF($C118=0,"",SUMIFS(INPUT_DATA!BD:BD,INPUT_DATA!$A:$A,$C118,INPUT_DATA!$C:$C,"D"))</f>
        <v/>
      </c>
      <c r="AI118" s="761" t="str">
        <f>IF($C118=0,"",SUMIFS(INPUT_DATA!BE:BE,INPUT_DATA!$A:$A,$C118,INPUT_DATA!$C:$C,"D"))</f>
        <v/>
      </c>
      <c r="AJ118" s="314" t="str">
        <f t="shared" si="13"/>
        <v/>
      </c>
      <c r="AK118" s="769" t="str">
        <f>IF($C118=0,"",SUMIFS(INPUT_DATA!BG:BG,INPUT_DATA!$A:$A,$C118,INPUT_DATA!$C:$C,"D"))</f>
        <v/>
      </c>
      <c r="AL118" s="769" t="str">
        <f>IF($C118=0,"",SUMIFS(INPUT_DATA!BH:BH,INPUT_DATA!$A:$A,$C118,INPUT_DATA!$C:$C,"D"))</f>
        <v/>
      </c>
      <c r="AM118" s="769" t="str">
        <f>IF($C118=0,"",SUMIFS(INPUT_DATA!BI:BI,INPUT_DATA!$A:$A,$C118,INPUT_DATA!$C:$C,"D"))</f>
        <v/>
      </c>
      <c r="AN118" s="767" t="str">
        <f t="shared" si="17"/>
        <v/>
      </c>
      <c r="AO118" s="772" t="str">
        <f>IF($C118=0,"",SUMIFS(INPUT_DATA!BK:BK,INPUT_DATA!$A:$A,$C118,INPUT_DATA!$C:$C,"D"))</f>
        <v/>
      </c>
      <c r="AP118" s="354" t="str">
        <f t="shared" si="18"/>
        <v/>
      </c>
      <c r="AQ118" s="149"/>
      <c r="AS118" s="354" t="str">
        <f t="shared" si="19"/>
        <v/>
      </c>
      <c r="AU118" s="378" t="str">
        <f>IF($C118=0,"",'03 - Monthly Asset Follow up'!E122+'03 - Monthly Asset Follow up'!F122-'03 - Monthly Asset Follow up'!U122+'03 - Monthly Asset Follow up'!X122-H118)</f>
        <v/>
      </c>
      <c r="AV118" s="378" t="str">
        <f>IF($C118=0,"",'03 - Monthly Asset Follow up'!BD122+'03 - Monthly Asset Follow up'!BE122-'03 - Monthly Asset Follow up'!BT122+'03 - Monthly Asset Follow up'!BW122-AA118)</f>
        <v/>
      </c>
      <c r="AX118" s="154"/>
    </row>
    <row r="119" spans="2:50" x14ac:dyDescent="0.2">
      <c r="B119" s="753" t="str">
        <f t="shared" si="14"/>
        <v/>
      </c>
      <c r="C119" s="756">
        <f>'03 - Monthly Asset Follow up'!B123</f>
        <v>0</v>
      </c>
      <c r="D119" s="149"/>
      <c r="E119" s="749" t="str">
        <f>IF($C119=0,"",SUMIFS(INPUT_DATA!AU:AU,INPUT_DATA!$A:$A,$C119,INPUT_DATA!$C:$C,"S"))</f>
        <v/>
      </c>
      <c r="F119" s="761" t="str">
        <f>IF($C119=0,"",SUMIFS(INPUT_DATA!AV:AV,INPUT_DATA!$A:$A,$C119,INPUT_DATA!$C:$C,"S"))</f>
        <v/>
      </c>
      <c r="G119" s="761" t="str">
        <f>IF($C119=0,"",SUMIFS(INPUT_DATA!AW:AW,INPUT_DATA!$A:$A,$C119,INPUT_DATA!$C:$C,"S"))</f>
        <v/>
      </c>
      <c r="H119" s="763" t="str">
        <f t="shared" si="10"/>
        <v/>
      </c>
      <c r="I119" s="761" t="str">
        <f>IF($C119=0,"",SUMIFS(INPUT_DATA!AY:AY,INPUT_DATA!$A:$A,$C119,INPUT_DATA!$C:$C,"S"))</f>
        <v/>
      </c>
      <c r="J119" s="761" t="str">
        <f>IF($C119=0,"",SUMIFS(INPUT_DATA!AZ:AZ,INPUT_DATA!$A:$A,$C119,INPUT_DATA!$C:$C,"S"))</f>
        <v/>
      </c>
      <c r="K119" s="761" t="str">
        <f>IF($C119=0,"",SUMIFS(INPUT_DATA!BA:BA,INPUT_DATA!$A:$A,$C119,INPUT_DATA!$C:$C,"S"))</f>
        <v/>
      </c>
      <c r="L119" s="761" t="str">
        <f>IF($C119=0,"",SUMIFS(INPUT_DATA!BB:BB,INPUT_DATA!$A:$A,$C119,INPUT_DATA!$C:$C,"S"))</f>
        <v/>
      </c>
      <c r="M119" s="761" t="str">
        <f>IF($C119=0,"",SUMIFS(INPUT_DATA!BC:BC,INPUT_DATA!$A:$A,$C119,INPUT_DATA!$C:$C,"S"))</f>
        <v/>
      </c>
      <c r="N119" s="761" t="str">
        <f>IF($C119=0,"",SUMIFS(INPUT_DATA!BD:BD,INPUT_DATA!$A:$A,$C119,INPUT_DATA!$C:$C,"S"))</f>
        <v/>
      </c>
      <c r="O119" s="761" t="str">
        <f>IF($C119=0,"",SUMIFS(INPUT_DATA!BE:BE,INPUT_DATA!$A:$A,$C119,INPUT_DATA!$C:$C,"S"))</f>
        <v/>
      </c>
      <c r="P119" s="761" t="str">
        <f>IF($C119=0,"",SUMIFS(INPUT_DATA!BF:BF,INPUT_DATA!$A:$A,$C119,INPUT_DATA!$C:$C,"S"))</f>
        <v/>
      </c>
      <c r="Q119" s="767" t="str">
        <f t="shared" si="15"/>
        <v/>
      </c>
      <c r="R119" s="769" t="str">
        <f>IF($C119=0,"",SUMIFS(INPUT_DATA!BH:BH,INPUT_DATA!$A:$A,$C119,INPUT_DATA!$C:$C,"S"))</f>
        <v/>
      </c>
      <c r="S119" s="769" t="str">
        <f>IF($C119=0,"",SUMIFS(INPUT_DATA!BI:BI,INPUT_DATA!$A:$A,$C119,INPUT_DATA!$C:$C,"S"))</f>
        <v/>
      </c>
      <c r="T119" s="767" t="str">
        <f t="shared" si="16"/>
        <v/>
      </c>
      <c r="U119" s="772" t="str">
        <f>IF($C119=0,"",SUMIFS(INPUT_DATA!BL:BL,INPUT_DATA!$A:$A,$C119,INPUT_DATA!$C:$C,"S"))</f>
        <v/>
      </c>
      <c r="V119" s="155" t="str">
        <f t="shared" si="11"/>
        <v/>
      </c>
      <c r="W119" s="149"/>
      <c r="X119" s="749" t="str">
        <f>IF($C119=0,"",SUMIFS(INPUT_DATA!AU:AU,INPUT_DATA!$A:$A,$C119,INPUT_DATA!$C:$C,"D"))</f>
        <v/>
      </c>
      <c r="Y119" s="761" t="str">
        <f>IF($C119=0,"",SUMIFS(INPUT_DATA!AV:AV,INPUT_DATA!$A:$A,$C119,INPUT_DATA!$C:$C,"D"))</f>
        <v/>
      </c>
      <c r="Z119" s="761" t="str">
        <f>IF($C119=0,"",SUMIFS(INPUT_DATA!AW:AW,INPUT_DATA!$A:$A,$C119,INPUT_DATA!$C:$C,"D"))</f>
        <v/>
      </c>
      <c r="AA119" s="762" t="str">
        <f t="shared" si="12"/>
        <v/>
      </c>
      <c r="AB119" s="761" t="str">
        <f>IF($C119=0,"",SUMIFS(INPUT_DATA!AX:AX,INPUT_DATA!$A:$A,$C119,INPUT_DATA!$C:$C,"D"))</f>
        <v/>
      </c>
      <c r="AC119" s="761" t="str">
        <f>IF($C119=0,"",SUMIFS(INPUT_DATA!AY:AY,INPUT_DATA!$A:$A,$C119,INPUT_DATA!$C:$C,"D"))</f>
        <v/>
      </c>
      <c r="AD119" s="761" t="str">
        <f>IF($C119=0,"",SUMIFS(INPUT_DATA!AZ:AZ,INPUT_DATA!$A:$A,$C119,INPUT_DATA!$C:$C,"D"))</f>
        <v/>
      </c>
      <c r="AE119" s="761" t="str">
        <f>IF($C119=0,"",SUMIFS(INPUT_DATA!BA:BA,INPUT_DATA!$A:$A,$C119,INPUT_DATA!$C:$C,"D"))</f>
        <v/>
      </c>
      <c r="AF119" s="761" t="str">
        <f>IF($C119=0,"",SUMIFS(INPUT_DATA!BB:BB,INPUT_DATA!$A:$A,$C119,INPUT_DATA!$C:$C,"D"))</f>
        <v/>
      </c>
      <c r="AG119" s="761" t="str">
        <f>IF($C119=0,"",SUMIFS(INPUT_DATA!BC:BC,INPUT_DATA!$A:$A,$C119,INPUT_DATA!$C:$C,"D"))</f>
        <v/>
      </c>
      <c r="AH119" s="761" t="str">
        <f>IF($C119=0,"",SUMIFS(INPUT_DATA!BD:BD,INPUT_DATA!$A:$A,$C119,INPUT_DATA!$C:$C,"D"))</f>
        <v/>
      </c>
      <c r="AI119" s="761" t="str">
        <f>IF($C119=0,"",SUMIFS(INPUT_DATA!BE:BE,INPUT_DATA!$A:$A,$C119,INPUT_DATA!$C:$C,"D"))</f>
        <v/>
      </c>
      <c r="AJ119" s="314" t="str">
        <f t="shared" si="13"/>
        <v/>
      </c>
      <c r="AK119" s="769" t="str">
        <f>IF($C119=0,"",SUMIFS(INPUT_DATA!BG:BG,INPUT_DATA!$A:$A,$C119,INPUT_DATA!$C:$C,"D"))</f>
        <v/>
      </c>
      <c r="AL119" s="769" t="str">
        <f>IF($C119=0,"",SUMIFS(INPUT_DATA!BH:BH,INPUT_DATA!$A:$A,$C119,INPUT_DATA!$C:$C,"D"))</f>
        <v/>
      </c>
      <c r="AM119" s="769" t="str">
        <f>IF($C119=0,"",SUMIFS(INPUT_DATA!BI:BI,INPUT_DATA!$A:$A,$C119,INPUT_DATA!$C:$C,"D"))</f>
        <v/>
      </c>
      <c r="AN119" s="767" t="str">
        <f t="shared" si="17"/>
        <v/>
      </c>
      <c r="AO119" s="772" t="str">
        <f>IF($C119=0,"",SUMIFS(INPUT_DATA!BK:BK,INPUT_DATA!$A:$A,$C119,INPUT_DATA!$C:$C,"D"))</f>
        <v/>
      </c>
      <c r="AP119" s="354" t="str">
        <f t="shared" si="18"/>
        <v/>
      </c>
      <c r="AQ119" s="149"/>
      <c r="AS119" s="354" t="str">
        <f t="shared" si="19"/>
        <v/>
      </c>
      <c r="AU119" s="378" t="str">
        <f>IF($C119=0,"",'03 - Monthly Asset Follow up'!E123+'03 - Monthly Asset Follow up'!F123-'03 - Monthly Asset Follow up'!U123+'03 - Monthly Asset Follow up'!X123-H119)</f>
        <v/>
      </c>
      <c r="AV119" s="378" t="str">
        <f>IF($C119=0,"",'03 - Monthly Asset Follow up'!BD123+'03 - Monthly Asset Follow up'!BE123-'03 - Monthly Asset Follow up'!BT123+'03 - Monthly Asset Follow up'!BW123-AA119)</f>
        <v/>
      </c>
      <c r="AX119" s="154"/>
    </row>
    <row r="120" spans="2:50" x14ac:dyDescent="0.2">
      <c r="B120" s="753" t="str">
        <f t="shared" si="14"/>
        <v/>
      </c>
      <c r="C120" s="756">
        <f>'03 - Monthly Asset Follow up'!B124</f>
        <v>0</v>
      </c>
      <c r="D120" s="149"/>
      <c r="E120" s="749" t="str">
        <f>IF($C120=0,"",SUMIFS(INPUT_DATA!AU:AU,INPUT_DATA!$A:$A,$C120,INPUT_DATA!$C:$C,"S"))</f>
        <v/>
      </c>
      <c r="F120" s="761" t="str">
        <f>IF($C120=0,"",SUMIFS(INPUT_DATA!AV:AV,INPUT_DATA!$A:$A,$C120,INPUT_DATA!$C:$C,"S"))</f>
        <v/>
      </c>
      <c r="G120" s="761" t="str">
        <f>IF($C120=0,"",SUMIFS(INPUT_DATA!AW:AW,INPUT_DATA!$A:$A,$C120,INPUT_DATA!$C:$C,"S"))</f>
        <v/>
      </c>
      <c r="H120" s="763" t="str">
        <f t="shared" si="10"/>
        <v/>
      </c>
      <c r="I120" s="761" t="str">
        <f>IF($C120=0,"",SUMIFS(INPUT_DATA!AY:AY,INPUT_DATA!$A:$A,$C120,INPUT_DATA!$C:$C,"S"))</f>
        <v/>
      </c>
      <c r="J120" s="761" t="str">
        <f>IF($C120=0,"",SUMIFS(INPUT_DATA!AZ:AZ,INPUT_DATA!$A:$A,$C120,INPUT_DATA!$C:$C,"S"))</f>
        <v/>
      </c>
      <c r="K120" s="761" t="str">
        <f>IF($C120=0,"",SUMIFS(INPUT_DATA!BA:BA,INPUT_DATA!$A:$A,$C120,INPUT_DATA!$C:$C,"S"))</f>
        <v/>
      </c>
      <c r="L120" s="761" t="str">
        <f>IF($C120=0,"",SUMIFS(INPUT_DATA!BB:BB,INPUT_DATA!$A:$A,$C120,INPUT_DATA!$C:$C,"S"))</f>
        <v/>
      </c>
      <c r="M120" s="761" t="str">
        <f>IF($C120=0,"",SUMIFS(INPUT_DATA!BC:BC,INPUT_DATA!$A:$A,$C120,INPUT_DATA!$C:$C,"S"))</f>
        <v/>
      </c>
      <c r="N120" s="761" t="str">
        <f>IF($C120=0,"",SUMIFS(INPUT_DATA!BD:BD,INPUT_DATA!$A:$A,$C120,INPUT_DATA!$C:$C,"S"))</f>
        <v/>
      </c>
      <c r="O120" s="761" t="str">
        <f>IF($C120=0,"",SUMIFS(INPUT_DATA!BE:BE,INPUT_DATA!$A:$A,$C120,INPUT_DATA!$C:$C,"S"))</f>
        <v/>
      </c>
      <c r="P120" s="761" t="str">
        <f>IF($C120=0,"",SUMIFS(INPUT_DATA!BF:BF,INPUT_DATA!$A:$A,$C120,INPUT_DATA!$C:$C,"S"))</f>
        <v/>
      </c>
      <c r="Q120" s="767" t="str">
        <f t="shared" si="15"/>
        <v/>
      </c>
      <c r="R120" s="769" t="str">
        <f>IF($C120=0,"",SUMIFS(INPUT_DATA!BH:BH,INPUT_DATA!$A:$A,$C120,INPUT_DATA!$C:$C,"S"))</f>
        <v/>
      </c>
      <c r="S120" s="769" t="str">
        <f>IF($C120=0,"",SUMIFS(INPUT_DATA!BI:BI,INPUT_DATA!$A:$A,$C120,INPUT_DATA!$C:$C,"S"))</f>
        <v/>
      </c>
      <c r="T120" s="767" t="str">
        <f t="shared" si="16"/>
        <v/>
      </c>
      <c r="U120" s="772" t="str">
        <f>IF($C120=0,"",SUMIFS(INPUT_DATA!BL:BL,INPUT_DATA!$A:$A,$C120,INPUT_DATA!$C:$C,"S"))</f>
        <v/>
      </c>
      <c r="V120" s="155" t="str">
        <f t="shared" si="11"/>
        <v/>
      </c>
      <c r="W120" s="149"/>
      <c r="X120" s="749" t="str">
        <f>IF($C120=0,"",SUMIFS(INPUT_DATA!AU:AU,INPUT_DATA!$A:$A,$C120,INPUT_DATA!$C:$C,"D"))</f>
        <v/>
      </c>
      <c r="Y120" s="761" t="str">
        <f>IF($C120=0,"",SUMIFS(INPUT_DATA!AV:AV,INPUT_DATA!$A:$A,$C120,INPUT_DATA!$C:$C,"D"))</f>
        <v/>
      </c>
      <c r="Z120" s="761" t="str">
        <f>IF($C120=0,"",SUMIFS(INPUT_DATA!AW:AW,INPUT_DATA!$A:$A,$C120,INPUT_DATA!$C:$C,"D"))</f>
        <v/>
      </c>
      <c r="AA120" s="762" t="str">
        <f t="shared" si="12"/>
        <v/>
      </c>
      <c r="AB120" s="761" t="str">
        <f>IF($C120=0,"",SUMIFS(INPUT_DATA!AX:AX,INPUT_DATA!$A:$A,$C120,INPUT_DATA!$C:$C,"D"))</f>
        <v/>
      </c>
      <c r="AC120" s="761" t="str">
        <f>IF($C120=0,"",SUMIFS(INPUT_DATA!AY:AY,INPUT_DATA!$A:$A,$C120,INPUT_DATA!$C:$C,"D"))</f>
        <v/>
      </c>
      <c r="AD120" s="761" t="str">
        <f>IF($C120=0,"",SUMIFS(INPUT_DATA!AZ:AZ,INPUT_DATA!$A:$A,$C120,INPUT_DATA!$C:$C,"D"))</f>
        <v/>
      </c>
      <c r="AE120" s="761" t="str">
        <f>IF($C120=0,"",SUMIFS(INPUT_DATA!BA:BA,INPUT_DATA!$A:$A,$C120,INPUT_DATA!$C:$C,"D"))</f>
        <v/>
      </c>
      <c r="AF120" s="761" t="str">
        <f>IF($C120=0,"",SUMIFS(INPUT_DATA!BB:BB,INPUT_DATA!$A:$A,$C120,INPUT_DATA!$C:$C,"D"))</f>
        <v/>
      </c>
      <c r="AG120" s="761" t="str">
        <f>IF($C120=0,"",SUMIFS(INPUT_DATA!BC:BC,INPUT_DATA!$A:$A,$C120,INPUT_DATA!$C:$C,"D"))</f>
        <v/>
      </c>
      <c r="AH120" s="761" t="str">
        <f>IF($C120=0,"",SUMIFS(INPUT_DATA!BD:BD,INPUT_DATA!$A:$A,$C120,INPUT_DATA!$C:$C,"D"))</f>
        <v/>
      </c>
      <c r="AI120" s="761" t="str">
        <f>IF($C120=0,"",SUMIFS(INPUT_DATA!BE:BE,INPUT_DATA!$A:$A,$C120,INPUT_DATA!$C:$C,"D"))</f>
        <v/>
      </c>
      <c r="AJ120" s="314" t="str">
        <f t="shared" si="13"/>
        <v/>
      </c>
      <c r="AK120" s="769" t="str">
        <f>IF($C120=0,"",SUMIFS(INPUT_DATA!BG:BG,INPUT_DATA!$A:$A,$C120,INPUT_DATA!$C:$C,"D"))</f>
        <v/>
      </c>
      <c r="AL120" s="769" t="str">
        <f>IF($C120=0,"",SUMIFS(INPUT_DATA!BH:BH,INPUT_DATA!$A:$A,$C120,INPUT_DATA!$C:$C,"D"))</f>
        <v/>
      </c>
      <c r="AM120" s="769" t="str">
        <f>IF($C120=0,"",SUMIFS(INPUT_DATA!BI:BI,INPUT_DATA!$A:$A,$C120,INPUT_DATA!$C:$C,"D"))</f>
        <v/>
      </c>
      <c r="AN120" s="767" t="str">
        <f t="shared" si="17"/>
        <v/>
      </c>
      <c r="AO120" s="772" t="str">
        <f>IF($C120=0,"",SUMIFS(INPUT_DATA!BK:BK,INPUT_DATA!$A:$A,$C120,INPUT_DATA!$C:$C,"D"))</f>
        <v/>
      </c>
      <c r="AP120" s="354" t="str">
        <f t="shared" si="18"/>
        <v/>
      </c>
      <c r="AQ120" s="149"/>
      <c r="AS120" s="354" t="str">
        <f t="shared" si="19"/>
        <v/>
      </c>
      <c r="AU120" s="378" t="str">
        <f>IF($C120=0,"",'03 - Monthly Asset Follow up'!E124+'03 - Monthly Asset Follow up'!F124-'03 - Monthly Asset Follow up'!U124+'03 - Monthly Asset Follow up'!X124-H120)</f>
        <v/>
      </c>
      <c r="AV120" s="378" t="str">
        <f>IF($C120=0,"",'03 - Monthly Asset Follow up'!BD124+'03 - Monthly Asset Follow up'!BE124-'03 - Monthly Asset Follow up'!BT124+'03 - Monthly Asset Follow up'!BW124-AA120)</f>
        <v/>
      </c>
      <c r="AX120" s="154"/>
    </row>
    <row r="121" spans="2:50" ht="13.5" thickBot="1" x14ac:dyDescent="0.25">
      <c r="B121" s="754" t="str">
        <f t="shared" si="14"/>
        <v/>
      </c>
      <c r="C121" s="757">
        <f>'03 - Monthly Asset Follow up'!B125</f>
        <v>0</v>
      </c>
      <c r="D121" s="149"/>
      <c r="E121" s="751" t="str">
        <f>IF($C121=0,"",SUMIFS(INPUT_DATA!AU:AU,INPUT_DATA!$A:$A,$C121,INPUT_DATA!$C:$C,"S"))</f>
        <v/>
      </c>
      <c r="F121" s="765" t="str">
        <f>IF($C121=0,"",SUMIFS(INPUT_DATA!AV:AV,INPUT_DATA!$A:$A,$C121,INPUT_DATA!$C:$C,"S"))</f>
        <v/>
      </c>
      <c r="G121" s="766" t="str">
        <f>IF($C121=0,"",SUMIFS(INPUT_DATA!AW:AW,INPUT_DATA!$A:$A,$C121,INPUT_DATA!$C:$C,"S"))</f>
        <v/>
      </c>
      <c r="H121" s="764" t="str">
        <f t="shared" si="10"/>
        <v/>
      </c>
      <c r="I121" s="765" t="str">
        <f>IF($C121=0,"",SUMIFS(INPUT_DATA!AY:AY,INPUT_DATA!$A:$A,$C121,INPUT_DATA!$C:$C,"S"))</f>
        <v/>
      </c>
      <c r="J121" s="765" t="str">
        <f>IF($C121=0,"",SUMIFS(INPUT_DATA!AZ:AZ,INPUT_DATA!$A:$A,$C121,INPUT_DATA!$C:$C,"S"))</f>
        <v/>
      </c>
      <c r="K121" s="765" t="str">
        <f>IF($C121=0,"",SUMIFS(INPUT_DATA!BA:BA,INPUT_DATA!$A:$A,$C121,INPUT_DATA!$C:$C,"S"))</f>
        <v/>
      </c>
      <c r="L121" s="765" t="str">
        <f>IF($C121=0,"",SUMIFS(INPUT_DATA!BB:BB,INPUT_DATA!$A:$A,$C121,INPUT_DATA!$C:$C,"S"))</f>
        <v/>
      </c>
      <c r="M121" s="765" t="str">
        <f>IF($C121=0,"",SUMIFS(INPUT_DATA!BC:BC,INPUT_DATA!$A:$A,$C121,INPUT_DATA!$C:$C,"S"))</f>
        <v/>
      </c>
      <c r="N121" s="765" t="str">
        <f>IF($C121=0,"",SUMIFS(INPUT_DATA!BD:BD,INPUT_DATA!$A:$A,$C121,INPUT_DATA!$C:$C,"S"))</f>
        <v/>
      </c>
      <c r="O121" s="765" t="str">
        <f>IF($C121=0,"",SUMIFS(INPUT_DATA!BE:BE,INPUT_DATA!$A:$A,$C121,INPUT_DATA!$C:$C,"S"))</f>
        <v/>
      </c>
      <c r="P121" s="765" t="str">
        <f>IF($C121=0,"",SUMIFS(INPUT_DATA!BF:BF,INPUT_DATA!$A:$A,$C121,INPUT_DATA!$C:$C,"S"))</f>
        <v/>
      </c>
      <c r="Q121" s="770" t="str">
        <f t="shared" si="15"/>
        <v/>
      </c>
      <c r="R121" s="769" t="str">
        <f>IF($C121=0,"",SUMIFS(INPUT_DATA!BH:BH,INPUT_DATA!$A:$A,$C121,INPUT_DATA!$C:$C,"S"))</f>
        <v/>
      </c>
      <c r="S121" s="769" t="str">
        <f>IF($C121=0,"",SUMIFS(INPUT_DATA!BI:BI,INPUT_DATA!$A:$A,$C121,INPUT_DATA!$C:$C,"S"))</f>
        <v/>
      </c>
      <c r="T121" s="767" t="str">
        <f t="shared" si="16"/>
        <v/>
      </c>
      <c r="U121" s="772" t="str">
        <f>IF($C121=0,"",SUMIFS(INPUT_DATA!BL:BL,INPUT_DATA!$A:$A,$C121,INPUT_DATA!$C:$C,"S"))</f>
        <v/>
      </c>
      <c r="V121" s="182" t="str">
        <f t="shared" si="11"/>
        <v/>
      </c>
      <c r="W121" s="149"/>
      <c r="X121" s="751" t="str">
        <f>IF($C121=0,"",SUMIFS(INPUT_DATA!AU:AU,INPUT_DATA!$A:$A,$C121,INPUT_DATA!$C:$C,"D"))</f>
        <v/>
      </c>
      <c r="Y121" s="765" t="str">
        <f>IF($C121=0,"",SUMIFS(INPUT_DATA!AV:AV,INPUT_DATA!$A:$A,$C121,INPUT_DATA!$C:$C,"D"))</f>
        <v/>
      </c>
      <c r="Z121" s="766" t="str">
        <f>IF($C121=0,"",SUMIFS(INPUT_DATA!AW:AW,INPUT_DATA!$A:$A,$C121,INPUT_DATA!$C:$C,"D"))</f>
        <v/>
      </c>
      <c r="AA121" s="774" t="str">
        <f t="shared" si="12"/>
        <v/>
      </c>
      <c r="AB121" s="765" t="str">
        <f>IF($C121=0,"",SUMIFS(INPUT_DATA!AX:AX,INPUT_DATA!$A:$A,$C121,INPUT_DATA!$C:$C,"D"))</f>
        <v/>
      </c>
      <c r="AC121" s="765" t="str">
        <f>IF($C121=0,"",SUMIFS(INPUT_DATA!AY:AY,INPUT_DATA!$A:$A,$C121,INPUT_DATA!$C:$C,"D"))</f>
        <v/>
      </c>
      <c r="AD121" s="765" t="str">
        <f>IF($C121=0,"",SUMIFS(INPUT_DATA!AZ:AZ,INPUT_DATA!$A:$A,$C121,INPUT_DATA!$C:$C,"D"))</f>
        <v/>
      </c>
      <c r="AE121" s="765" t="str">
        <f>IF($C121=0,"",SUMIFS(INPUT_DATA!BA:BA,INPUT_DATA!$A:$A,$C121,INPUT_DATA!$C:$C,"D"))</f>
        <v/>
      </c>
      <c r="AF121" s="765" t="str">
        <f>IF($C121=0,"",SUMIFS(INPUT_DATA!BB:BB,INPUT_DATA!$A:$A,$C121,INPUT_DATA!$C:$C,"D"))</f>
        <v/>
      </c>
      <c r="AG121" s="765" t="str">
        <f>IF($C121=0,"",SUMIFS(INPUT_DATA!BC:BC,INPUT_DATA!$A:$A,$C121,INPUT_DATA!$C:$C,"D"))</f>
        <v/>
      </c>
      <c r="AH121" s="765" t="str">
        <f>IF($C121=0,"",SUMIFS(INPUT_DATA!BD:BD,INPUT_DATA!$A:$A,$C121,INPUT_DATA!$C:$C,"D"))</f>
        <v/>
      </c>
      <c r="AI121" s="765" t="str">
        <f>IF($C121=0,"",SUMIFS(INPUT_DATA!BE:BE,INPUT_DATA!$A:$A,$C121,INPUT_DATA!$C:$C,"D"))</f>
        <v/>
      </c>
      <c r="AJ121" s="775" t="str">
        <f t="shared" si="13"/>
        <v/>
      </c>
      <c r="AK121" s="771" t="str">
        <f>IF($C121=0,"",SUMIFS(INPUT_DATA!BG:BG,INPUT_DATA!$A:$A,$C121,INPUT_DATA!$C:$C,"D"))</f>
        <v/>
      </c>
      <c r="AL121" s="771" t="str">
        <f>IF($C121=0,"",SUMIFS(INPUT_DATA!BH:BH,INPUT_DATA!$A:$A,$C121,INPUT_DATA!$C:$C,"D"))</f>
        <v/>
      </c>
      <c r="AM121" s="771" t="str">
        <f>IF($C121=0,"",SUMIFS(INPUT_DATA!BI:BI,INPUT_DATA!$A:$A,$C121,INPUT_DATA!$C:$C,"D"))</f>
        <v/>
      </c>
      <c r="AN121" s="770" t="str">
        <f t="shared" si="17"/>
        <v/>
      </c>
      <c r="AO121" s="773" t="str">
        <f>IF($C121=0,"",SUMIFS(INPUT_DATA!BK:BK,INPUT_DATA!$A:$A,$C121,INPUT_DATA!$C:$C,"D"))</f>
        <v/>
      </c>
      <c r="AP121" s="776" t="str">
        <f t="shared" si="18"/>
        <v/>
      </c>
      <c r="AQ121" s="149"/>
      <c r="AS121" s="776" t="str">
        <f t="shared" si="19"/>
        <v/>
      </c>
      <c r="AU121" s="777" t="str">
        <f>IF($C121=0,"",'03 - Monthly Asset Follow up'!E125+'03 - Monthly Asset Follow up'!F125-'03 - Monthly Asset Follow up'!U125+'03 - Monthly Asset Follow up'!X125-H121)</f>
        <v/>
      </c>
      <c r="AV121" s="378" t="str">
        <f>IF($C121=0,"",'03 - Monthly Asset Follow up'!BD125+'03 - Monthly Asset Follow up'!BE125-'03 - Monthly Asset Follow up'!BT125+'03 - Monthly Asset Follow up'!BW125-AA121)</f>
        <v/>
      </c>
      <c r="AX121" s="181"/>
    </row>
  </sheetData>
  <conditionalFormatting sqref="B14:C121">
    <cfRule type="cellIs" dxfId="49" priority="2" operator="lessThanOrEqual">
      <formula>0</formula>
    </cfRule>
  </conditionalFormatting>
  <pageMargins left="0.7" right="0.7" top="0.75" bottom="0.75" header="0.3" footer="0.3"/>
  <pageSetup orientation="portrait" r:id="rId1"/>
  <ignoredErrors>
    <ignoredError xmlns:x16r3="http://schemas.microsoft.com/office/spreadsheetml/2018/08/main" sqref="C84:C121" x16r3:misleadingFormat="1"/>
    <ignoredError sqref="Q13:Q121"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7CC8-1133-497B-B7F7-826293B5B4E8}">
  <sheetPr>
    <tabColor theme="0" tint="-0.249977111117893"/>
  </sheetPr>
  <dimension ref="A1:J72"/>
  <sheetViews>
    <sheetView showGridLines="0" zoomScale="80" zoomScaleNormal="80" workbookViewId="0">
      <selection activeCell="G44" sqref="G44"/>
    </sheetView>
  </sheetViews>
  <sheetFormatPr defaultColWidth="10.85546875" defaultRowHeight="15" x14ac:dyDescent="0.25"/>
  <cols>
    <col min="1" max="1" width="4.42578125" style="400" customWidth="1"/>
    <col min="2" max="4" width="23" style="400" customWidth="1"/>
    <col min="5" max="6" width="29.5703125" style="400" customWidth="1"/>
    <col min="7" max="7" width="17.5703125" style="400" customWidth="1"/>
    <col min="8" max="16384" width="10.85546875" style="400"/>
  </cols>
  <sheetData>
    <row r="1" spans="1:10" x14ac:dyDescent="0.25">
      <c r="A1" s="104"/>
      <c r="B1" s="104"/>
      <c r="C1" s="104"/>
      <c r="D1" s="104"/>
      <c r="E1" s="104"/>
      <c r="F1" s="104"/>
      <c r="G1" s="104"/>
      <c r="H1" s="104"/>
      <c r="I1" s="104"/>
      <c r="J1" s="104"/>
    </row>
    <row r="2" spans="1:10" x14ac:dyDescent="0.25">
      <c r="A2" s="104"/>
      <c r="B2" s="106"/>
      <c r="C2" s="106"/>
      <c r="D2" s="106"/>
      <c r="E2" s="106"/>
      <c r="F2" s="106"/>
      <c r="G2" s="106"/>
      <c r="H2" s="106"/>
      <c r="I2" s="106"/>
      <c r="J2" s="106"/>
    </row>
    <row r="3" spans="1:10" ht="14.45" customHeight="1" x14ac:dyDescent="0.25">
      <c r="A3" s="104"/>
      <c r="B3" s="106"/>
      <c r="C3" s="106"/>
      <c r="D3" s="106"/>
      <c r="E3" s="106"/>
      <c r="F3" s="144" t="s">
        <v>134</v>
      </c>
      <c r="G3" s="144">
        <f>'00 - Cover'!$F$16</f>
        <v>45583</v>
      </c>
      <c r="H3" s="106"/>
      <c r="I3" s="105"/>
      <c r="J3" s="105"/>
    </row>
    <row r="4" spans="1:10" ht="14.45" customHeight="1" x14ac:dyDescent="0.25">
      <c r="A4" s="104"/>
      <c r="B4" s="106"/>
      <c r="C4" s="106"/>
      <c r="D4" s="106"/>
      <c r="E4" s="106"/>
      <c r="F4" s="144" t="s">
        <v>655</v>
      </c>
      <c r="G4" s="144">
        <f>'00 - Cover'!$F$15</f>
        <v>45580</v>
      </c>
      <c r="H4" s="106"/>
      <c r="I4" s="105"/>
      <c r="J4" s="105"/>
    </row>
    <row r="5" spans="1:10" ht="14.45" customHeight="1" x14ac:dyDescent="0.25">
      <c r="A5" s="104"/>
      <c r="B5" s="106"/>
      <c r="C5" s="106"/>
      <c r="D5" s="106"/>
      <c r="E5" s="106"/>
      <c r="F5" s="144" t="s">
        <v>94</v>
      </c>
      <c r="G5" s="144">
        <f>'00 - Cover'!$F$16</f>
        <v>45583</v>
      </c>
      <c r="H5" s="106"/>
      <c r="I5" s="105"/>
      <c r="J5" s="105"/>
    </row>
    <row r="6" spans="1:10" ht="14.45" customHeight="1" x14ac:dyDescent="0.25">
      <c r="A6" s="104"/>
      <c r="B6" s="106"/>
      <c r="C6" s="106"/>
      <c r="D6" s="106"/>
      <c r="E6" s="106"/>
      <c r="F6" s="144" t="s">
        <v>87</v>
      </c>
      <c r="G6" s="144">
        <f>'00 - Cover'!$F$17</f>
        <v>45590</v>
      </c>
      <c r="H6" s="106"/>
      <c r="I6" s="106"/>
      <c r="J6" s="106"/>
    </row>
    <row r="7" spans="1:10" x14ac:dyDescent="0.25">
      <c r="A7" s="104"/>
      <c r="B7" s="106"/>
      <c r="C7" s="106"/>
      <c r="D7" s="106"/>
      <c r="E7" s="106"/>
      <c r="F7" s="106"/>
      <c r="G7" s="106"/>
      <c r="H7" s="106"/>
      <c r="I7" s="106"/>
      <c r="J7" s="106"/>
    </row>
    <row r="8" spans="1:10" x14ac:dyDescent="0.25">
      <c r="A8" s="399"/>
    </row>
    <row r="9" spans="1:10" ht="18" customHeight="1" x14ac:dyDescent="0.25">
      <c r="B9" s="654" t="s">
        <v>560</v>
      </c>
      <c r="C9" s="620"/>
      <c r="D9" s="621"/>
      <c r="E9" s="622"/>
      <c r="F9" s="623"/>
    </row>
    <row r="11" spans="1:10" ht="63.6" customHeight="1" x14ac:dyDescent="0.25">
      <c r="A11" s="416"/>
      <c r="B11" s="619" t="s">
        <v>95</v>
      </c>
      <c r="C11" s="586" t="s">
        <v>689</v>
      </c>
      <c r="D11" s="586" t="s">
        <v>690</v>
      </c>
      <c r="E11" s="619" t="s">
        <v>907</v>
      </c>
      <c r="F11" s="619" t="s">
        <v>908</v>
      </c>
    </row>
    <row r="12" spans="1:10" x14ac:dyDescent="0.25">
      <c r="A12" s="416"/>
      <c r="B12" s="779">
        <f>'03 - Monthly Asset Follow up'!B17</f>
        <v>45565</v>
      </c>
      <c r="C12" s="782">
        <f>IF(OR(B12=0,F12=""),"",MAX(D12:D23))</f>
        <v>5.0177773501827901E-3</v>
      </c>
      <c r="D12" s="782">
        <f t="shared" ref="D12:D72" si="0">IF(OR(B12=0,F12=""),"",E12/F12)</f>
        <v>1.1707526393398703E-3</v>
      </c>
      <c r="E12" s="421">
        <f>IF(B12=0,"",'03 - Monthly Asset Follow up'!F17)</f>
        <v>806173.41</v>
      </c>
      <c r="F12" s="420">
        <f>IF(B12=0,"",'03 - Monthly Asset Follow up'!P18)</f>
        <v>688594142.69999981</v>
      </c>
    </row>
    <row r="13" spans="1:10" x14ac:dyDescent="0.25">
      <c r="A13" s="416"/>
      <c r="B13" s="778">
        <f>'03 - Monthly Asset Follow up'!B18</f>
        <v>45535</v>
      </c>
      <c r="C13" s="783">
        <f>IF(OR(B13=0,F13=""),"",MAX(D13:D24))</f>
        <v>5.0177773501827901E-3</v>
      </c>
      <c r="D13" s="783">
        <f t="shared" si="0"/>
        <v>2.8812224963535708E-3</v>
      </c>
      <c r="E13" s="780">
        <f>IF(B13=0,"",'03 - Monthly Asset Follow up'!F18)</f>
        <v>2003699.8000000003</v>
      </c>
      <c r="F13" s="781">
        <f>IF(B13=0,"",'03 - Monthly Asset Follow up'!P19)</f>
        <v>695433900.90000021</v>
      </c>
    </row>
    <row r="14" spans="1:10" x14ac:dyDescent="0.25">
      <c r="A14" s="416"/>
      <c r="B14" s="778">
        <f>'03 - Monthly Asset Follow up'!B19</f>
        <v>45504</v>
      </c>
      <c r="C14" s="783">
        <f t="shared" ref="C14:C72" si="1">IF(OR(B14=0,F14=""),"",MAX(D14:D25))</f>
        <v>5.0177773501827901E-3</v>
      </c>
      <c r="D14" s="783">
        <f t="shared" si="0"/>
        <v>1.3084254321757099E-3</v>
      </c>
      <c r="E14" s="780">
        <f>IF(B14=0,"",'03 - Monthly Asset Follow up'!F19)</f>
        <v>917582.09000000008</v>
      </c>
      <c r="F14" s="781">
        <f>IF(B14=0,"",'03 - Monthly Asset Follow up'!P20)</f>
        <v>701287262.86999977</v>
      </c>
    </row>
    <row r="15" spans="1:10" x14ac:dyDescent="0.25">
      <c r="B15" s="778">
        <f>'03 - Monthly Asset Follow up'!B20</f>
        <v>45473</v>
      </c>
      <c r="C15" s="783">
        <f t="shared" si="1"/>
        <v>5.0177773501827901E-3</v>
      </c>
      <c r="D15" s="783">
        <f t="shared" si="0"/>
        <v>9.4456121676121402E-4</v>
      </c>
      <c r="E15" s="780">
        <f>IF(B15=0,"",'03 - Monthly Asset Follow up'!F20)</f>
        <v>667655.79</v>
      </c>
      <c r="F15" s="781">
        <f>IF(B15=0,"",'03 - Monthly Asset Follow up'!P21)</f>
        <v>706842265.12000024</v>
      </c>
    </row>
    <row r="16" spans="1:10" x14ac:dyDescent="0.25">
      <c r="B16" s="778">
        <f>'03 - Monthly Asset Follow up'!B21</f>
        <v>45443</v>
      </c>
      <c r="C16" s="783">
        <f t="shared" si="1"/>
        <v>5.0177773501827901E-3</v>
      </c>
      <c r="D16" s="783">
        <f t="shared" si="0"/>
        <v>8.1693512277940174E-4</v>
      </c>
      <c r="E16" s="780">
        <f>IF(B16=0,"",'03 - Monthly Asset Follow up'!F21)</f>
        <v>581914.99</v>
      </c>
      <c r="F16" s="781">
        <f>IF(B16=0,"",'03 - Monthly Asset Follow up'!P22)</f>
        <v>712314813.96000087</v>
      </c>
    </row>
    <row r="17" spans="2:6" x14ac:dyDescent="0.25">
      <c r="B17" s="778">
        <f>'03 - Monthly Asset Follow up'!B22</f>
        <v>45412</v>
      </c>
      <c r="C17" s="783">
        <f t="shared" si="1"/>
        <v>5.0177773501827901E-3</v>
      </c>
      <c r="D17" s="783">
        <f t="shared" si="0"/>
        <v>7.181915862556963E-4</v>
      </c>
      <c r="E17" s="780">
        <f>IF(B17=0,"",'03 - Monthly Asset Follow up'!F22)</f>
        <v>515506.72</v>
      </c>
      <c r="F17" s="781">
        <f>IF(B17=0,"",'03 - Monthly Asset Follow up'!P23)</f>
        <v>717784404.41999996</v>
      </c>
    </row>
    <row r="18" spans="2:6" x14ac:dyDescent="0.25">
      <c r="B18" s="778">
        <f>'03 - Monthly Asset Follow up'!B23</f>
        <v>45382</v>
      </c>
      <c r="C18" s="783">
        <f t="shared" si="1"/>
        <v>5.0177773501827901E-3</v>
      </c>
      <c r="D18" s="783">
        <f t="shared" si="0"/>
        <v>1.8944064172423847E-3</v>
      </c>
      <c r="E18" s="780">
        <f>IF(B18=0,"",'03 - Monthly Asset Follow up'!F23)</f>
        <v>1371710.64</v>
      </c>
      <c r="F18" s="781">
        <f>IF(B18=0,"",'03 - Monthly Asset Follow up'!P24)</f>
        <v>724084667.11000001</v>
      </c>
    </row>
    <row r="19" spans="2:6" x14ac:dyDescent="0.25">
      <c r="B19" s="778">
        <f>'03 - Monthly Asset Follow up'!B24</f>
        <v>45351</v>
      </c>
      <c r="C19" s="783">
        <f t="shared" si="1"/>
        <v>5.0177773501827901E-3</v>
      </c>
      <c r="D19" s="783">
        <f t="shared" si="0"/>
        <v>5.0177773501827901E-3</v>
      </c>
      <c r="E19" s="780">
        <f>IF(B19=0,"",'03 - Monthly Asset Follow up'!F24)</f>
        <v>3676512.91</v>
      </c>
      <c r="F19" s="781">
        <f>IF(B19=0,"",'03 - Monthly Asset Follow up'!P25)</f>
        <v>732697498</v>
      </c>
    </row>
    <row r="20" spans="2:6" x14ac:dyDescent="0.25">
      <c r="B20" s="778">
        <f>'03 - Monthly Asset Follow up'!B25</f>
        <v>45322</v>
      </c>
      <c r="C20" s="783">
        <f t="shared" si="1"/>
        <v>2.0110449893448283E-3</v>
      </c>
      <c r="D20" s="783">
        <f t="shared" si="0"/>
        <v>2.0110449893448283E-3</v>
      </c>
      <c r="E20" s="780">
        <f>IF(B20=0,"",'03 - Monthly Asset Follow up'!F25)</f>
        <v>1486537.02</v>
      </c>
      <c r="F20" s="781">
        <f>IF(B20=0,"",'03 - Monthly Asset Follow up'!P26)</f>
        <v>739186357.27999997</v>
      </c>
    </row>
    <row r="21" spans="2:6" x14ac:dyDescent="0.25">
      <c r="B21" s="778">
        <f>'03 - Monthly Asset Follow up'!B26</f>
        <v>45291</v>
      </c>
      <c r="C21" s="783">
        <f t="shared" si="1"/>
        <v>1.7111986065626074E-3</v>
      </c>
      <c r="D21" s="783">
        <f t="shared" si="0"/>
        <v>8.2723997605679985E-4</v>
      </c>
      <c r="E21" s="780">
        <f>IF(B21=0,"",'03 - Monthly Asset Follow up'!F26)</f>
        <v>616128.16</v>
      </c>
      <c r="F21" s="781">
        <f>IF(B21=0,"",'03 - Monthly Asset Follow up'!P27)</f>
        <v>744799789.46000004</v>
      </c>
    </row>
    <row r="22" spans="2:6" x14ac:dyDescent="0.25">
      <c r="B22" s="778">
        <f>'03 - Monthly Asset Follow up'!B27</f>
        <v>45260</v>
      </c>
      <c r="C22" s="783">
        <f t="shared" si="1"/>
        <v>1.7111986065626074E-3</v>
      </c>
      <c r="D22" s="783">
        <f t="shared" si="0"/>
        <v>1.7111986065626074E-3</v>
      </c>
      <c r="E22" s="780">
        <f>IF(B22=0,"",'03 - Monthly Asset Follow up'!F27)</f>
        <v>1285255.6299999999</v>
      </c>
      <c r="F22" s="781">
        <f>IF(B22=0,"",'03 - Monthly Asset Follow up'!P28)</f>
        <v>751085014.37</v>
      </c>
    </row>
    <row r="23" spans="2:6" x14ac:dyDescent="0.25">
      <c r="B23" s="778">
        <f>'03 - Monthly Asset Follow up'!B28</f>
        <v>45230</v>
      </c>
      <c r="C23" s="783" t="str">
        <f t="shared" si="1"/>
        <v/>
      </c>
      <c r="D23" s="783" t="str">
        <f t="shared" si="0"/>
        <v/>
      </c>
      <c r="E23" s="780">
        <f>IF(B23=0,"",'03 - Monthly Asset Follow up'!F28)</f>
        <v>0</v>
      </c>
      <c r="F23" s="781" t="str">
        <f>IF(B23=0,"",'03 - Monthly Asset Follow up'!P29)</f>
        <v/>
      </c>
    </row>
    <row r="24" spans="2:6" x14ac:dyDescent="0.25">
      <c r="B24" s="778">
        <f>'03 - Monthly Asset Follow up'!B29</f>
        <v>0</v>
      </c>
      <c r="C24" s="783" t="str">
        <f t="shared" si="1"/>
        <v/>
      </c>
      <c r="D24" s="783" t="str">
        <f t="shared" si="0"/>
        <v/>
      </c>
      <c r="E24" s="780" t="str">
        <f>IF(B24=0,"",'03 - Monthly Asset Follow up'!F29)</f>
        <v/>
      </c>
      <c r="F24" s="781" t="str">
        <f>IF(B24=0,"",'03 - Monthly Asset Follow up'!P30)</f>
        <v/>
      </c>
    </row>
    <row r="25" spans="2:6" x14ac:dyDescent="0.25">
      <c r="B25" s="778">
        <f>'03 - Monthly Asset Follow up'!B30</f>
        <v>0</v>
      </c>
      <c r="C25" s="783" t="str">
        <f t="shared" si="1"/>
        <v/>
      </c>
      <c r="D25" s="783" t="str">
        <f t="shared" si="0"/>
        <v/>
      </c>
      <c r="E25" s="780" t="str">
        <f>IF(B25=0,"",'03 - Monthly Asset Follow up'!F30)</f>
        <v/>
      </c>
      <c r="F25" s="781" t="str">
        <f>IF(B25=0,"",'03 - Monthly Asset Follow up'!P31)</f>
        <v/>
      </c>
    </row>
    <row r="26" spans="2:6" x14ac:dyDescent="0.25">
      <c r="B26" s="778">
        <f>'03 - Monthly Asset Follow up'!B31</f>
        <v>0</v>
      </c>
      <c r="C26" s="783" t="str">
        <f t="shared" si="1"/>
        <v/>
      </c>
      <c r="D26" s="783" t="str">
        <f t="shared" si="0"/>
        <v/>
      </c>
      <c r="E26" s="780" t="str">
        <f>IF(B26=0,"",'03 - Monthly Asset Follow up'!F31)</f>
        <v/>
      </c>
      <c r="F26" s="781" t="str">
        <f>IF(B26=0,"",'03 - Monthly Asset Follow up'!P32)</f>
        <v/>
      </c>
    </row>
    <row r="27" spans="2:6" x14ac:dyDescent="0.25">
      <c r="B27" s="778">
        <f>'03 - Monthly Asset Follow up'!B32</f>
        <v>0</v>
      </c>
      <c r="C27" s="783" t="str">
        <f t="shared" si="1"/>
        <v/>
      </c>
      <c r="D27" s="783" t="str">
        <f t="shared" si="0"/>
        <v/>
      </c>
      <c r="E27" s="780" t="str">
        <f>IF(B27=0,"",'03 - Monthly Asset Follow up'!F32)</f>
        <v/>
      </c>
      <c r="F27" s="781" t="str">
        <f>IF(B27=0,"",'03 - Monthly Asset Follow up'!P33)</f>
        <v/>
      </c>
    </row>
    <row r="28" spans="2:6" x14ac:dyDescent="0.25">
      <c r="B28" s="778">
        <f>'03 - Monthly Asset Follow up'!B33</f>
        <v>0</v>
      </c>
      <c r="C28" s="783" t="str">
        <f t="shared" si="1"/>
        <v/>
      </c>
      <c r="D28" s="783" t="str">
        <f t="shared" si="0"/>
        <v/>
      </c>
      <c r="E28" s="780" t="str">
        <f>IF(B28=0,"",'03 - Monthly Asset Follow up'!F33)</f>
        <v/>
      </c>
      <c r="F28" s="781" t="str">
        <f>IF(B28=0,"",'03 - Monthly Asset Follow up'!P34)</f>
        <v/>
      </c>
    </row>
    <row r="29" spans="2:6" x14ac:dyDescent="0.25">
      <c r="B29" s="778">
        <f>'03 - Monthly Asset Follow up'!B34</f>
        <v>0</v>
      </c>
      <c r="C29" s="783" t="str">
        <f t="shared" si="1"/>
        <v/>
      </c>
      <c r="D29" s="783" t="str">
        <f t="shared" si="0"/>
        <v/>
      </c>
      <c r="E29" s="780" t="str">
        <f>IF(B29=0,"",'03 - Monthly Asset Follow up'!F34)</f>
        <v/>
      </c>
      <c r="F29" s="781" t="str">
        <f>IF(B29=0,"",'03 - Monthly Asset Follow up'!P35)</f>
        <v/>
      </c>
    </row>
    <row r="30" spans="2:6" x14ac:dyDescent="0.25">
      <c r="B30" s="778">
        <f>'03 - Monthly Asset Follow up'!B35</f>
        <v>0</v>
      </c>
      <c r="C30" s="783" t="str">
        <f t="shared" si="1"/>
        <v/>
      </c>
      <c r="D30" s="783" t="str">
        <f t="shared" si="0"/>
        <v/>
      </c>
      <c r="E30" s="780" t="str">
        <f>IF(B30=0,"",'03 - Monthly Asset Follow up'!F35)</f>
        <v/>
      </c>
      <c r="F30" s="781" t="str">
        <f>IF(B30=0,"",'03 - Monthly Asset Follow up'!P36)</f>
        <v/>
      </c>
    </row>
    <row r="31" spans="2:6" x14ac:dyDescent="0.25">
      <c r="B31" s="778">
        <f>'03 - Monthly Asset Follow up'!B36</f>
        <v>0</v>
      </c>
      <c r="C31" s="783" t="str">
        <f t="shared" si="1"/>
        <v/>
      </c>
      <c r="D31" s="783" t="str">
        <f t="shared" si="0"/>
        <v/>
      </c>
      <c r="E31" s="780" t="str">
        <f>IF(B31=0,"",'03 - Monthly Asset Follow up'!F36)</f>
        <v/>
      </c>
      <c r="F31" s="781" t="str">
        <f>IF(B31=0,"",'03 - Monthly Asset Follow up'!P37)</f>
        <v/>
      </c>
    </row>
    <row r="32" spans="2:6" x14ac:dyDescent="0.25">
      <c r="B32" s="778">
        <f>'03 - Monthly Asset Follow up'!B37</f>
        <v>0</v>
      </c>
      <c r="C32" s="783" t="str">
        <f t="shared" si="1"/>
        <v/>
      </c>
      <c r="D32" s="783" t="str">
        <f t="shared" si="0"/>
        <v/>
      </c>
      <c r="E32" s="780" t="str">
        <f>IF(B32=0,"",'03 - Monthly Asset Follow up'!F37)</f>
        <v/>
      </c>
      <c r="F32" s="781" t="str">
        <f>IF(B32=0,"",'03 - Monthly Asset Follow up'!P38)</f>
        <v/>
      </c>
    </row>
    <row r="33" spans="2:6" x14ac:dyDescent="0.25">
      <c r="B33" s="778">
        <f>'03 - Monthly Asset Follow up'!B38</f>
        <v>0</v>
      </c>
      <c r="C33" s="783" t="str">
        <f t="shared" si="1"/>
        <v/>
      </c>
      <c r="D33" s="783" t="str">
        <f t="shared" si="0"/>
        <v/>
      </c>
      <c r="E33" s="780" t="str">
        <f>IF(B33=0,"",'03 - Monthly Asset Follow up'!F38)</f>
        <v/>
      </c>
      <c r="F33" s="781" t="str">
        <f>IF(B33=0,"",'03 - Monthly Asset Follow up'!P39)</f>
        <v/>
      </c>
    </row>
    <row r="34" spans="2:6" x14ac:dyDescent="0.25">
      <c r="B34" s="778">
        <f>'03 - Monthly Asset Follow up'!B39</f>
        <v>0</v>
      </c>
      <c r="C34" s="783" t="str">
        <f t="shared" si="1"/>
        <v/>
      </c>
      <c r="D34" s="783" t="str">
        <f t="shared" si="0"/>
        <v/>
      </c>
      <c r="E34" s="780" t="str">
        <f>IF(B34=0,"",'03 - Monthly Asset Follow up'!F39)</f>
        <v/>
      </c>
      <c r="F34" s="781" t="str">
        <f>IF(B34=0,"",'03 - Monthly Asset Follow up'!P40)</f>
        <v/>
      </c>
    </row>
    <row r="35" spans="2:6" x14ac:dyDescent="0.25">
      <c r="B35" s="778">
        <f>'03 - Monthly Asset Follow up'!B40</f>
        <v>0</v>
      </c>
      <c r="C35" s="783" t="str">
        <f t="shared" si="1"/>
        <v/>
      </c>
      <c r="D35" s="783" t="str">
        <f t="shared" si="0"/>
        <v/>
      </c>
      <c r="E35" s="780" t="str">
        <f>IF(B35=0,"",'03 - Monthly Asset Follow up'!F40)</f>
        <v/>
      </c>
      <c r="F35" s="781" t="str">
        <f>IF(B35=0,"",'03 - Monthly Asset Follow up'!P41)</f>
        <v/>
      </c>
    </row>
    <row r="36" spans="2:6" x14ac:dyDescent="0.25">
      <c r="B36" s="778">
        <f>'03 - Monthly Asset Follow up'!B41</f>
        <v>0</v>
      </c>
      <c r="C36" s="783" t="str">
        <f t="shared" si="1"/>
        <v/>
      </c>
      <c r="D36" s="783" t="str">
        <f t="shared" si="0"/>
        <v/>
      </c>
      <c r="E36" s="780" t="str">
        <f>IF(B36=0,"",'03 - Monthly Asset Follow up'!F41)</f>
        <v/>
      </c>
      <c r="F36" s="781" t="str">
        <f>IF(B36=0,"",'03 - Monthly Asset Follow up'!P42)</f>
        <v/>
      </c>
    </row>
    <row r="37" spans="2:6" x14ac:dyDescent="0.25">
      <c r="B37" s="778">
        <f>'03 - Monthly Asset Follow up'!B42</f>
        <v>0</v>
      </c>
      <c r="C37" s="783" t="str">
        <f t="shared" si="1"/>
        <v/>
      </c>
      <c r="D37" s="783" t="str">
        <f t="shared" si="0"/>
        <v/>
      </c>
      <c r="E37" s="780" t="str">
        <f>IF(B37=0,"",'03 - Monthly Asset Follow up'!F42)</f>
        <v/>
      </c>
      <c r="F37" s="781" t="str">
        <f>IF(B37=0,"",'03 - Monthly Asset Follow up'!P43)</f>
        <v/>
      </c>
    </row>
    <row r="38" spans="2:6" x14ac:dyDescent="0.25">
      <c r="B38" s="778">
        <f>'03 - Monthly Asset Follow up'!B43</f>
        <v>0</v>
      </c>
      <c r="C38" s="783" t="str">
        <f t="shared" si="1"/>
        <v/>
      </c>
      <c r="D38" s="783" t="str">
        <f t="shared" si="0"/>
        <v/>
      </c>
      <c r="E38" s="780" t="str">
        <f>IF(B38=0,"",'03 - Monthly Asset Follow up'!F43)</f>
        <v/>
      </c>
      <c r="F38" s="781" t="str">
        <f>IF(B38=0,"",'03 - Monthly Asset Follow up'!P44)</f>
        <v/>
      </c>
    </row>
    <row r="39" spans="2:6" x14ac:dyDescent="0.25">
      <c r="B39" s="778">
        <f>'03 - Monthly Asset Follow up'!B44</f>
        <v>0</v>
      </c>
      <c r="C39" s="783" t="str">
        <f t="shared" si="1"/>
        <v/>
      </c>
      <c r="D39" s="783" t="str">
        <f t="shared" si="0"/>
        <v/>
      </c>
      <c r="E39" s="780" t="str">
        <f>IF(B39=0,"",'03 - Monthly Asset Follow up'!F44)</f>
        <v/>
      </c>
      <c r="F39" s="781" t="str">
        <f>IF(B39=0,"",'03 - Monthly Asset Follow up'!P45)</f>
        <v/>
      </c>
    </row>
    <row r="40" spans="2:6" x14ac:dyDescent="0.25">
      <c r="B40" s="778">
        <f>'03 - Monthly Asset Follow up'!B45</f>
        <v>0</v>
      </c>
      <c r="C40" s="783" t="str">
        <f t="shared" si="1"/>
        <v/>
      </c>
      <c r="D40" s="783" t="str">
        <f t="shared" si="0"/>
        <v/>
      </c>
      <c r="E40" s="780" t="str">
        <f>IF(B40=0,"",'03 - Monthly Asset Follow up'!F45)</f>
        <v/>
      </c>
      <c r="F40" s="781" t="str">
        <f>IF(B40=0,"",'03 - Monthly Asset Follow up'!P46)</f>
        <v/>
      </c>
    </row>
    <row r="41" spans="2:6" x14ac:dyDescent="0.25">
      <c r="B41" s="778">
        <f>'03 - Monthly Asset Follow up'!B46</f>
        <v>0</v>
      </c>
      <c r="C41" s="783" t="str">
        <f t="shared" si="1"/>
        <v/>
      </c>
      <c r="D41" s="783" t="str">
        <f t="shared" si="0"/>
        <v/>
      </c>
      <c r="E41" s="780" t="str">
        <f>IF(B41=0,"",'03 - Monthly Asset Follow up'!F46)</f>
        <v/>
      </c>
      <c r="F41" s="781" t="str">
        <f>IF(B41=0,"",'03 - Monthly Asset Follow up'!P47)</f>
        <v/>
      </c>
    </row>
    <row r="42" spans="2:6" x14ac:dyDescent="0.25">
      <c r="B42" s="778">
        <f>'03 - Monthly Asset Follow up'!B47</f>
        <v>0</v>
      </c>
      <c r="C42" s="783" t="str">
        <f t="shared" si="1"/>
        <v/>
      </c>
      <c r="D42" s="783" t="str">
        <f t="shared" si="0"/>
        <v/>
      </c>
      <c r="E42" s="780" t="str">
        <f>IF(B42=0,"",'03 - Monthly Asset Follow up'!F47)</f>
        <v/>
      </c>
      <c r="F42" s="781" t="str">
        <f>IF(B42=0,"",'03 - Monthly Asset Follow up'!P48)</f>
        <v/>
      </c>
    </row>
    <row r="43" spans="2:6" x14ac:dyDescent="0.25">
      <c r="B43" s="778">
        <f>'03 - Monthly Asset Follow up'!B48</f>
        <v>0</v>
      </c>
      <c r="C43" s="783" t="str">
        <f t="shared" si="1"/>
        <v/>
      </c>
      <c r="D43" s="783" t="str">
        <f t="shared" si="0"/>
        <v/>
      </c>
      <c r="E43" s="780" t="str">
        <f>IF(B43=0,"",'03 - Monthly Asset Follow up'!F48)</f>
        <v/>
      </c>
      <c r="F43" s="781" t="str">
        <f>IF(B43=0,"",'03 - Monthly Asset Follow up'!P49)</f>
        <v/>
      </c>
    </row>
    <row r="44" spans="2:6" x14ac:dyDescent="0.25">
      <c r="B44" s="778">
        <f>'03 - Monthly Asset Follow up'!B49</f>
        <v>0</v>
      </c>
      <c r="C44" s="783" t="str">
        <f t="shared" si="1"/>
        <v/>
      </c>
      <c r="D44" s="783" t="str">
        <f t="shared" si="0"/>
        <v/>
      </c>
      <c r="E44" s="780" t="str">
        <f>IF(B44=0,"",'03 - Monthly Asset Follow up'!F49)</f>
        <v/>
      </c>
      <c r="F44" s="781" t="str">
        <f>IF(B44=0,"",'03 - Monthly Asset Follow up'!P50)</f>
        <v/>
      </c>
    </row>
    <row r="45" spans="2:6" x14ac:dyDescent="0.25">
      <c r="B45" s="778">
        <f>'03 - Monthly Asset Follow up'!B50</f>
        <v>0</v>
      </c>
      <c r="C45" s="783" t="str">
        <f t="shared" si="1"/>
        <v/>
      </c>
      <c r="D45" s="783" t="str">
        <f t="shared" si="0"/>
        <v/>
      </c>
      <c r="E45" s="780" t="str">
        <f>IF(B45=0,"",'03 - Monthly Asset Follow up'!F50)</f>
        <v/>
      </c>
      <c r="F45" s="781" t="str">
        <f>IF(B45=0,"",'03 - Monthly Asset Follow up'!P51)</f>
        <v/>
      </c>
    </row>
    <row r="46" spans="2:6" x14ac:dyDescent="0.25">
      <c r="B46" s="778">
        <f>'03 - Monthly Asset Follow up'!B51</f>
        <v>0</v>
      </c>
      <c r="C46" s="783" t="str">
        <f t="shared" si="1"/>
        <v/>
      </c>
      <c r="D46" s="783" t="str">
        <f t="shared" si="0"/>
        <v/>
      </c>
      <c r="E46" s="780" t="str">
        <f>IF(B46=0,"",'03 - Monthly Asset Follow up'!F51)</f>
        <v/>
      </c>
      <c r="F46" s="781" t="str">
        <f>IF(B46=0,"",'03 - Monthly Asset Follow up'!P52)</f>
        <v/>
      </c>
    </row>
    <row r="47" spans="2:6" x14ac:dyDescent="0.25">
      <c r="B47" s="778">
        <f>'03 - Monthly Asset Follow up'!B52</f>
        <v>0</v>
      </c>
      <c r="C47" s="783" t="str">
        <f t="shared" si="1"/>
        <v/>
      </c>
      <c r="D47" s="783" t="str">
        <f t="shared" si="0"/>
        <v/>
      </c>
      <c r="E47" s="780" t="str">
        <f>IF(B47=0,"",'03 - Monthly Asset Follow up'!F52)</f>
        <v/>
      </c>
      <c r="F47" s="781" t="str">
        <f>IF(B47=0,"",'03 - Monthly Asset Follow up'!P53)</f>
        <v/>
      </c>
    </row>
    <row r="48" spans="2:6" x14ac:dyDescent="0.25">
      <c r="B48" s="778">
        <f>'03 - Monthly Asset Follow up'!B53</f>
        <v>0</v>
      </c>
      <c r="C48" s="783" t="str">
        <f t="shared" si="1"/>
        <v/>
      </c>
      <c r="D48" s="783" t="str">
        <f t="shared" si="0"/>
        <v/>
      </c>
      <c r="E48" s="780" t="str">
        <f>IF(B48=0,"",'03 - Monthly Asset Follow up'!F53)</f>
        <v/>
      </c>
      <c r="F48" s="781" t="str">
        <f>IF(B48=0,"",'03 - Monthly Asset Follow up'!P54)</f>
        <v/>
      </c>
    </row>
    <row r="49" spans="2:6" x14ac:dyDescent="0.25">
      <c r="B49" s="778">
        <f>'03 - Monthly Asset Follow up'!B54</f>
        <v>0</v>
      </c>
      <c r="C49" s="783" t="str">
        <f t="shared" si="1"/>
        <v/>
      </c>
      <c r="D49" s="783" t="str">
        <f t="shared" si="0"/>
        <v/>
      </c>
      <c r="E49" s="780" t="str">
        <f>IF(B49=0,"",'03 - Monthly Asset Follow up'!F54)</f>
        <v/>
      </c>
      <c r="F49" s="781" t="str">
        <f>IF(B49=0,"",'03 - Monthly Asset Follow up'!P55)</f>
        <v/>
      </c>
    </row>
    <row r="50" spans="2:6" x14ac:dyDescent="0.25">
      <c r="B50" s="778">
        <f>'03 - Monthly Asset Follow up'!B55</f>
        <v>0</v>
      </c>
      <c r="C50" s="783" t="str">
        <f t="shared" si="1"/>
        <v/>
      </c>
      <c r="D50" s="783" t="str">
        <f t="shared" si="0"/>
        <v/>
      </c>
      <c r="E50" s="780" t="str">
        <f>IF(B50=0,"",'03 - Monthly Asset Follow up'!F55)</f>
        <v/>
      </c>
      <c r="F50" s="781" t="str">
        <f>IF(B50=0,"",'03 - Monthly Asset Follow up'!P56)</f>
        <v/>
      </c>
    </row>
    <row r="51" spans="2:6" x14ac:dyDescent="0.25">
      <c r="B51" s="778">
        <f>'03 - Monthly Asset Follow up'!B56</f>
        <v>0</v>
      </c>
      <c r="C51" s="783" t="str">
        <f t="shared" si="1"/>
        <v/>
      </c>
      <c r="D51" s="783" t="str">
        <f t="shared" si="0"/>
        <v/>
      </c>
      <c r="E51" s="780" t="str">
        <f>IF(B51=0,"",'03 - Monthly Asset Follow up'!F56)</f>
        <v/>
      </c>
      <c r="F51" s="781" t="str">
        <f>IF(B51=0,"",'03 - Monthly Asset Follow up'!P57)</f>
        <v/>
      </c>
    </row>
    <row r="52" spans="2:6" x14ac:dyDescent="0.25">
      <c r="B52" s="778">
        <f>'03 - Monthly Asset Follow up'!B57</f>
        <v>0</v>
      </c>
      <c r="C52" s="783" t="str">
        <f t="shared" si="1"/>
        <v/>
      </c>
      <c r="D52" s="783" t="str">
        <f t="shared" si="0"/>
        <v/>
      </c>
      <c r="E52" s="780" t="str">
        <f>IF(B52=0,"",'03 - Monthly Asset Follow up'!F57)</f>
        <v/>
      </c>
      <c r="F52" s="781" t="str">
        <f>IF(B52=0,"",'03 - Monthly Asset Follow up'!P58)</f>
        <v/>
      </c>
    </row>
    <row r="53" spans="2:6" x14ac:dyDescent="0.25">
      <c r="B53" s="778">
        <f>'03 - Monthly Asset Follow up'!B58</f>
        <v>0</v>
      </c>
      <c r="C53" s="783" t="str">
        <f t="shared" si="1"/>
        <v/>
      </c>
      <c r="D53" s="783" t="str">
        <f t="shared" si="0"/>
        <v/>
      </c>
      <c r="E53" s="780" t="str">
        <f>IF(B53=0,"",'03 - Monthly Asset Follow up'!F58)</f>
        <v/>
      </c>
      <c r="F53" s="781" t="str">
        <f>IF(B53=0,"",'03 - Monthly Asset Follow up'!P59)</f>
        <v/>
      </c>
    </row>
    <row r="54" spans="2:6" x14ac:dyDescent="0.25">
      <c r="B54" s="778">
        <f>'03 - Monthly Asset Follow up'!B59</f>
        <v>0</v>
      </c>
      <c r="C54" s="783" t="str">
        <f t="shared" si="1"/>
        <v/>
      </c>
      <c r="D54" s="783" t="str">
        <f t="shared" si="0"/>
        <v/>
      </c>
      <c r="E54" s="780" t="str">
        <f>IF(B54=0,"",'03 - Monthly Asset Follow up'!F59)</f>
        <v/>
      </c>
      <c r="F54" s="781" t="str">
        <f>IF(B54=0,"",'03 - Monthly Asset Follow up'!P60)</f>
        <v/>
      </c>
    </row>
    <row r="55" spans="2:6" x14ac:dyDescent="0.25">
      <c r="B55" s="778">
        <f>'03 - Monthly Asset Follow up'!B60</f>
        <v>0</v>
      </c>
      <c r="C55" s="783" t="str">
        <f t="shared" si="1"/>
        <v/>
      </c>
      <c r="D55" s="783" t="str">
        <f t="shared" si="0"/>
        <v/>
      </c>
      <c r="E55" s="780" t="str">
        <f>IF(B55=0,"",'03 - Monthly Asset Follow up'!F60)</f>
        <v/>
      </c>
      <c r="F55" s="781" t="str">
        <f>IF(B55=0,"",'03 - Monthly Asset Follow up'!P61)</f>
        <v/>
      </c>
    </row>
    <row r="56" spans="2:6" x14ac:dyDescent="0.25">
      <c r="B56" s="778">
        <f>'03 - Monthly Asset Follow up'!B61</f>
        <v>0</v>
      </c>
      <c r="C56" s="783" t="str">
        <f t="shared" si="1"/>
        <v/>
      </c>
      <c r="D56" s="783" t="str">
        <f t="shared" si="0"/>
        <v/>
      </c>
      <c r="E56" s="780" t="str">
        <f>IF(B56=0,"",'03 - Monthly Asset Follow up'!F61)</f>
        <v/>
      </c>
      <c r="F56" s="781" t="str">
        <f>IF(B56=0,"",'03 - Monthly Asset Follow up'!P62)</f>
        <v/>
      </c>
    </row>
    <row r="57" spans="2:6" x14ac:dyDescent="0.25">
      <c r="B57" s="778">
        <f>'03 - Monthly Asset Follow up'!B62</f>
        <v>0</v>
      </c>
      <c r="C57" s="783" t="str">
        <f t="shared" si="1"/>
        <v/>
      </c>
      <c r="D57" s="783" t="str">
        <f t="shared" si="0"/>
        <v/>
      </c>
      <c r="E57" s="780" t="str">
        <f>IF(B57=0,"",'03 - Monthly Asset Follow up'!F62)</f>
        <v/>
      </c>
      <c r="F57" s="781" t="str">
        <f>IF(B57=0,"",'03 - Monthly Asset Follow up'!P63)</f>
        <v/>
      </c>
    </row>
    <row r="58" spans="2:6" x14ac:dyDescent="0.25">
      <c r="B58" s="778">
        <f>'03 - Monthly Asset Follow up'!B63</f>
        <v>0</v>
      </c>
      <c r="C58" s="783" t="str">
        <f t="shared" si="1"/>
        <v/>
      </c>
      <c r="D58" s="783" t="str">
        <f t="shared" si="0"/>
        <v/>
      </c>
      <c r="E58" s="780" t="str">
        <f>IF(B58=0,"",'03 - Monthly Asset Follow up'!F63)</f>
        <v/>
      </c>
      <c r="F58" s="781" t="str">
        <f>IF(B58=0,"",'03 - Monthly Asset Follow up'!P64)</f>
        <v/>
      </c>
    </row>
    <row r="59" spans="2:6" x14ac:dyDescent="0.25">
      <c r="B59" s="778">
        <f>'03 - Monthly Asset Follow up'!B64</f>
        <v>0</v>
      </c>
      <c r="C59" s="783" t="str">
        <f t="shared" si="1"/>
        <v/>
      </c>
      <c r="D59" s="783" t="str">
        <f t="shared" si="0"/>
        <v/>
      </c>
      <c r="E59" s="780" t="str">
        <f>IF(B59=0,"",'03 - Monthly Asset Follow up'!F64)</f>
        <v/>
      </c>
      <c r="F59" s="781" t="str">
        <f>IF(B59=0,"",'03 - Monthly Asset Follow up'!P65)</f>
        <v/>
      </c>
    </row>
    <row r="60" spans="2:6" x14ac:dyDescent="0.25">
      <c r="B60" s="778">
        <f>'03 - Monthly Asset Follow up'!B65</f>
        <v>0</v>
      </c>
      <c r="C60" s="783" t="str">
        <f t="shared" si="1"/>
        <v/>
      </c>
      <c r="D60" s="783" t="str">
        <f t="shared" si="0"/>
        <v/>
      </c>
      <c r="E60" s="780" t="str">
        <f>IF(B60=0,"",'03 - Monthly Asset Follow up'!F65)</f>
        <v/>
      </c>
      <c r="F60" s="781" t="str">
        <f>IF(B60=0,"",'03 - Monthly Asset Follow up'!P66)</f>
        <v/>
      </c>
    </row>
    <row r="61" spans="2:6" x14ac:dyDescent="0.25">
      <c r="B61" s="778">
        <f>'03 - Monthly Asset Follow up'!B66</f>
        <v>0</v>
      </c>
      <c r="C61" s="783" t="str">
        <f t="shared" si="1"/>
        <v/>
      </c>
      <c r="D61" s="783" t="str">
        <f t="shared" si="0"/>
        <v/>
      </c>
      <c r="E61" s="780" t="str">
        <f>IF(B61=0,"",'03 - Monthly Asset Follow up'!F66)</f>
        <v/>
      </c>
      <c r="F61" s="781" t="str">
        <f>IF(B61=0,"",'03 - Monthly Asset Follow up'!P67)</f>
        <v/>
      </c>
    </row>
    <row r="62" spans="2:6" x14ac:dyDescent="0.25">
      <c r="B62" s="778">
        <f>'03 - Monthly Asset Follow up'!B67</f>
        <v>0</v>
      </c>
      <c r="C62" s="783" t="str">
        <f t="shared" si="1"/>
        <v/>
      </c>
      <c r="D62" s="783" t="str">
        <f t="shared" si="0"/>
        <v/>
      </c>
      <c r="E62" s="780" t="str">
        <f>IF(B62=0,"",'03 - Monthly Asset Follow up'!F67)</f>
        <v/>
      </c>
      <c r="F62" s="781" t="str">
        <f>IF(B62=0,"",'03 - Monthly Asset Follow up'!P68)</f>
        <v/>
      </c>
    </row>
    <row r="63" spans="2:6" x14ac:dyDescent="0.25">
      <c r="B63" s="778">
        <f>'03 - Monthly Asset Follow up'!B68</f>
        <v>0</v>
      </c>
      <c r="C63" s="783" t="str">
        <f t="shared" si="1"/>
        <v/>
      </c>
      <c r="D63" s="783" t="str">
        <f t="shared" si="0"/>
        <v/>
      </c>
      <c r="E63" s="780" t="str">
        <f>IF(B63=0,"",'03 - Monthly Asset Follow up'!F68)</f>
        <v/>
      </c>
      <c r="F63" s="781" t="str">
        <f>IF(B63=0,"",'03 - Monthly Asset Follow up'!P69)</f>
        <v/>
      </c>
    </row>
    <row r="64" spans="2:6" x14ac:dyDescent="0.25">
      <c r="B64" s="778">
        <f>'03 - Monthly Asset Follow up'!B69</f>
        <v>0</v>
      </c>
      <c r="C64" s="783" t="str">
        <f t="shared" si="1"/>
        <v/>
      </c>
      <c r="D64" s="783" t="str">
        <f t="shared" si="0"/>
        <v/>
      </c>
      <c r="E64" s="780" t="str">
        <f>IF(B64=0,"",'03 - Monthly Asset Follow up'!F69)</f>
        <v/>
      </c>
      <c r="F64" s="781" t="str">
        <f>IF(B64=0,"",'03 - Monthly Asset Follow up'!P70)</f>
        <v/>
      </c>
    </row>
    <row r="65" spans="2:6" x14ac:dyDescent="0.25">
      <c r="B65" s="778">
        <f>'03 - Monthly Asset Follow up'!B70</f>
        <v>0</v>
      </c>
      <c r="C65" s="783" t="str">
        <f t="shared" si="1"/>
        <v/>
      </c>
      <c r="D65" s="783" t="str">
        <f t="shared" si="0"/>
        <v/>
      </c>
      <c r="E65" s="780" t="str">
        <f>IF(B65=0,"",'03 - Monthly Asset Follow up'!F70)</f>
        <v/>
      </c>
      <c r="F65" s="781" t="str">
        <f>IF(B65=0,"",'03 - Monthly Asset Follow up'!P71)</f>
        <v/>
      </c>
    </row>
    <row r="66" spans="2:6" x14ac:dyDescent="0.25">
      <c r="B66" s="778">
        <f>'03 - Monthly Asset Follow up'!B71</f>
        <v>0</v>
      </c>
      <c r="C66" s="783" t="str">
        <f t="shared" si="1"/>
        <v/>
      </c>
      <c r="D66" s="783" t="str">
        <f t="shared" si="0"/>
        <v/>
      </c>
      <c r="E66" s="780" t="str">
        <f>IF(B66=0,"",'03 - Monthly Asset Follow up'!F71)</f>
        <v/>
      </c>
      <c r="F66" s="781" t="str">
        <f>IF(B66=0,"",'03 - Monthly Asset Follow up'!P72)</f>
        <v/>
      </c>
    </row>
    <row r="67" spans="2:6" x14ac:dyDescent="0.25">
      <c r="B67" s="778">
        <f>'03 - Monthly Asset Follow up'!B72</f>
        <v>0</v>
      </c>
      <c r="C67" s="783" t="str">
        <f t="shared" si="1"/>
        <v/>
      </c>
      <c r="D67" s="783" t="str">
        <f t="shared" si="0"/>
        <v/>
      </c>
      <c r="E67" s="780" t="str">
        <f>IF(B67=0,"",'03 - Monthly Asset Follow up'!F72)</f>
        <v/>
      </c>
      <c r="F67" s="781" t="str">
        <f>IF(B67=0,"",'03 - Monthly Asset Follow up'!P73)</f>
        <v/>
      </c>
    </row>
    <row r="68" spans="2:6" x14ac:dyDescent="0.25">
      <c r="B68" s="778">
        <f>'03 - Monthly Asset Follow up'!B73</f>
        <v>0</v>
      </c>
      <c r="C68" s="783" t="str">
        <f t="shared" si="1"/>
        <v/>
      </c>
      <c r="D68" s="783" t="str">
        <f t="shared" si="0"/>
        <v/>
      </c>
      <c r="E68" s="780" t="str">
        <f>IF(B68=0,"",'03 - Monthly Asset Follow up'!F73)</f>
        <v/>
      </c>
      <c r="F68" s="781" t="str">
        <f>IF(B68=0,"",'03 - Monthly Asset Follow up'!P74)</f>
        <v/>
      </c>
    </row>
    <row r="69" spans="2:6" x14ac:dyDescent="0.25">
      <c r="B69" s="778">
        <f>'03 - Monthly Asset Follow up'!B74</f>
        <v>0</v>
      </c>
      <c r="C69" s="783" t="str">
        <f t="shared" si="1"/>
        <v/>
      </c>
      <c r="D69" s="783" t="str">
        <f t="shared" si="0"/>
        <v/>
      </c>
      <c r="E69" s="780" t="str">
        <f>IF(B69=0,"",'03 - Monthly Asset Follow up'!F74)</f>
        <v/>
      </c>
      <c r="F69" s="781" t="str">
        <f>IF(B69=0,"",'03 - Monthly Asset Follow up'!P75)</f>
        <v/>
      </c>
    </row>
    <row r="70" spans="2:6" x14ac:dyDescent="0.25">
      <c r="B70" s="778">
        <f>'03 - Monthly Asset Follow up'!B75</f>
        <v>0</v>
      </c>
      <c r="C70" s="783" t="str">
        <f t="shared" si="1"/>
        <v/>
      </c>
      <c r="D70" s="783" t="str">
        <f t="shared" si="0"/>
        <v/>
      </c>
      <c r="E70" s="780" t="str">
        <f>IF(B70=0,"",'03 - Monthly Asset Follow up'!F75)</f>
        <v/>
      </c>
      <c r="F70" s="781" t="str">
        <f>IF(B70=0,"",'03 - Monthly Asset Follow up'!P76)</f>
        <v/>
      </c>
    </row>
    <row r="71" spans="2:6" x14ac:dyDescent="0.25">
      <c r="B71" s="778">
        <f>'03 - Monthly Asset Follow up'!B76</f>
        <v>0</v>
      </c>
      <c r="C71" s="783" t="str">
        <f t="shared" si="1"/>
        <v/>
      </c>
      <c r="D71" s="783" t="str">
        <f t="shared" si="0"/>
        <v/>
      </c>
      <c r="E71" s="780" t="str">
        <f>IF(B71=0,"",'03 - Monthly Asset Follow up'!F76)</f>
        <v/>
      </c>
      <c r="F71" s="781" t="str">
        <f>IF(B71=0,"",'03 - Monthly Asset Follow up'!P77)</f>
        <v/>
      </c>
    </row>
    <row r="72" spans="2:6" x14ac:dyDescent="0.25">
      <c r="B72" s="778">
        <f>'03 - Monthly Asset Follow up'!B77</f>
        <v>0</v>
      </c>
      <c r="C72" s="783" t="str">
        <f t="shared" si="1"/>
        <v/>
      </c>
      <c r="D72" s="783" t="str">
        <f t="shared" si="0"/>
        <v/>
      </c>
      <c r="E72" s="780" t="str">
        <f>IF(B72=0,"",'03 - Monthly Asset Follow up'!F77)</f>
        <v/>
      </c>
      <c r="F72" s="781" t="str">
        <f>IF(B72=0,"",'03 - Monthly Asset Follow up'!P78)</f>
        <v/>
      </c>
    </row>
  </sheetData>
  <conditionalFormatting sqref="B12:B72">
    <cfRule type="cellIs" dxfId="48"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652C-D54C-4968-98F2-DA965AC4B45A}">
  <sheetPr>
    <tabColor theme="0" tint="-0.249977111117893"/>
  </sheetPr>
  <dimension ref="A3:H299"/>
  <sheetViews>
    <sheetView showGridLines="0" zoomScale="80" zoomScaleNormal="80" workbookViewId="0">
      <selection activeCell="H13" sqref="H13"/>
    </sheetView>
  </sheetViews>
  <sheetFormatPr defaultColWidth="9.140625" defaultRowHeight="12.75" x14ac:dyDescent="0.2"/>
  <cols>
    <col min="1" max="1" width="4" style="379" bestFit="1" customWidth="1"/>
    <col min="2" max="2" width="16.85546875" style="299" customWidth="1"/>
    <col min="3" max="3" width="1.42578125" style="299" customWidth="1"/>
    <col min="4" max="6" width="27.42578125" style="299" customWidth="1"/>
    <col min="7" max="7" width="20.140625" style="299" customWidth="1"/>
    <col min="8" max="8" width="15.42578125" style="299" customWidth="1"/>
    <col min="9" max="16384" width="9.140625" style="299"/>
  </cols>
  <sheetData>
    <row r="3" spans="1:8" ht="15" x14ac:dyDescent="0.2">
      <c r="F3" s="350"/>
      <c r="G3" s="144" t="s">
        <v>134</v>
      </c>
      <c r="H3" s="144">
        <f>'00 - Cover'!$F$16</f>
        <v>45583</v>
      </c>
    </row>
    <row r="4" spans="1:8" ht="15" x14ac:dyDescent="0.2">
      <c r="F4" s="350"/>
      <c r="G4" s="144" t="s">
        <v>655</v>
      </c>
      <c r="H4" s="144">
        <f>'00 - Cover'!$F$15</f>
        <v>45580</v>
      </c>
    </row>
    <row r="5" spans="1:8" ht="15" x14ac:dyDescent="0.2">
      <c r="F5" s="350"/>
      <c r="G5" s="144" t="s">
        <v>94</v>
      </c>
      <c r="H5" s="144">
        <f>'00 - Cover'!$F$16</f>
        <v>45583</v>
      </c>
    </row>
    <row r="6" spans="1:8" x14ac:dyDescent="0.2">
      <c r="G6" s="144" t="s">
        <v>87</v>
      </c>
      <c r="H6" s="144">
        <f>'00 - Cover'!$F$17</f>
        <v>45590</v>
      </c>
    </row>
    <row r="8" spans="1:8" ht="15.75" x14ac:dyDescent="0.2">
      <c r="B8" s="584" t="s">
        <v>732</v>
      </c>
      <c r="C8" s="585"/>
      <c r="D8" s="585"/>
      <c r="E8" s="585"/>
      <c r="F8" s="585"/>
      <c r="G8" s="585"/>
      <c r="H8" s="585"/>
    </row>
    <row r="9" spans="1:8" ht="13.5" thickBot="1" x14ac:dyDescent="0.25"/>
    <row r="10" spans="1:8" ht="18.600000000000001" customHeight="1" x14ac:dyDescent="0.25">
      <c r="A10" s="380"/>
      <c r="B10" s="1136" t="s">
        <v>209</v>
      </c>
      <c r="C10" s="316"/>
      <c r="D10" s="1136" t="s">
        <v>651</v>
      </c>
      <c r="E10" s="1136" t="s">
        <v>653</v>
      </c>
      <c r="F10" s="1136" t="s">
        <v>652</v>
      </c>
      <c r="G10" s="315"/>
    </row>
    <row r="11" spans="1:8" ht="18" x14ac:dyDescent="0.25">
      <c r="A11" s="380"/>
      <c r="B11" s="1137"/>
      <c r="C11" s="316"/>
      <c r="D11" s="1137"/>
      <c r="E11" s="1137"/>
      <c r="F11" s="1137"/>
      <c r="G11" s="315"/>
    </row>
    <row r="12" spans="1:8" ht="13.5" thickBot="1" x14ac:dyDescent="0.25">
      <c r="A12" s="380"/>
      <c r="B12" s="1138"/>
      <c r="C12" s="317"/>
      <c r="D12" s="1138"/>
      <c r="E12" s="1138"/>
      <c r="F12" s="1138"/>
      <c r="G12" s="315"/>
    </row>
    <row r="13" spans="1:8" x14ac:dyDescent="0.2">
      <c r="A13" s="380"/>
      <c r="B13" s="318">
        <v>45596</v>
      </c>
      <c r="C13" s="319"/>
      <c r="D13" s="320">
        <v>682966575.98000014</v>
      </c>
      <c r="E13" s="321">
        <v>6833136.0900000017</v>
      </c>
      <c r="F13" s="321">
        <v>816121.68999999715</v>
      </c>
      <c r="G13" s="322"/>
      <c r="H13" s="889">
        <f>D13-'03 - Monthly Asset Follow up'!O17</f>
        <v>0</v>
      </c>
    </row>
    <row r="14" spans="1:8" x14ac:dyDescent="0.2">
      <c r="A14" s="380"/>
      <c r="B14" s="323">
        <v>45626</v>
      </c>
      <c r="C14" s="319"/>
      <c r="D14" s="324">
        <v>676133439.8900001</v>
      </c>
      <c r="E14" s="325">
        <v>4783700.9799999995</v>
      </c>
      <c r="F14" s="325">
        <v>797452.62000000128</v>
      </c>
      <c r="G14" s="315"/>
    </row>
    <row r="15" spans="1:8" x14ac:dyDescent="0.2">
      <c r="A15" s="380"/>
      <c r="B15" s="323">
        <v>45657</v>
      </c>
      <c r="C15" s="319"/>
      <c r="D15" s="324">
        <v>671349738.91000009</v>
      </c>
      <c r="E15" s="325">
        <v>5046761.0399999963</v>
      </c>
      <c r="F15" s="325">
        <v>793566.34000000008</v>
      </c>
      <c r="G15" s="315"/>
    </row>
    <row r="16" spans="1:8" x14ac:dyDescent="0.2">
      <c r="A16" s="380"/>
      <c r="B16" s="323">
        <v>45688</v>
      </c>
      <c r="C16" s="319"/>
      <c r="D16" s="324">
        <v>666302977.87000012</v>
      </c>
      <c r="E16" s="325">
        <v>4807863.0300000077</v>
      </c>
      <c r="F16" s="325">
        <v>789031.38000000012</v>
      </c>
      <c r="G16" s="315"/>
    </row>
    <row r="17" spans="1:7" x14ac:dyDescent="0.2">
      <c r="A17" s="380"/>
      <c r="B17" s="323">
        <v>45716</v>
      </c>
      <c r="C17" s="319"/>
      <c r="D17" s="324">
        <v>661495114.84000015</v>
      </c>
      <c r="E17" s="325">
        <v>3980557.8899999992</v>
      </c>
      <c r="F17" s="325">
        <v>647070.81999999902</v>
      </c>
      <c r="G17" s="315"/>
    </row>
    <row r="18" spans="1:7" x14ac:dyDescent="0.2">
      <c r="A18" s="380"/>
      <c r="B18" s="323">
        <v>45747</v>
      </c>
      <c r="C18" s="319"/>
      <c r="D18" s="324">
        <v>657514556.95000017</v>
      </c>
      <c r="E18" s="325">
        <v>5715801.3000000063</v>
      </c>
      <c r="F18" s="325">
        <v>904353.03999999759</v>
      </c>
      <c r="G18" s="315"/>
    </row>
    <row r="19" spans="1:7" x14ac:dyDescent="0.2">
      <c r="A19" s="380"/>
      <c r="B19" s="323">
        <v>45777</v>
      </c>
      <c r="C19" s="319"/>
      <c r="D19" s="324">
        <v>651798755.65000021</v>
      </c>
      <c r="E19" s="325">
        <v>4771880.6600000048</v>
      </c>
      <c r="F19" s="325">
        <v>769477.03999999829</v>
      </c>
      <c r="G19" s="315"/>
    </row>
    <row r="20" spans="1:7" x14ac:dyDescent="0.2">
      <c r="A20" s="380"/>
      <c r="B20" s="323">
        <v>45808</v>
      </c>
      <c r="C20" s="319"/>
      <c r="D20" s="324">
        <v>647026874.99000025</v>
      </c>
      <c r="E20" s="325">
        <v>4713158.1399999857</v>
      </c>
      <c r="F20" s="325">
        <v>760076.94999999856</v>
      </c>
      <c r="G20" s="315"/>
    </row>
    <row r="21" spans="1:7" x14ac:dyDescent="0.2">
      <c r="A21" s="380"/>
      <c r="B21" s="323">
        <v>45838</v>
      </c>
      <c r="C21" s="319"/>
      <c r="D21" s="324">
        <v>642313716.85000026</v>
      </c>
      <c r="E21" s="325">
        <v>4687326.0700000022</v>
      </c>
      <c r="F21" s="325">
        <v>753854.71999999799</v>
      </c>
      <c r="G21" s="315"/>
    </row>
    <row r="22" spans="1:7" x14ac:dyDescent="0.2">
      <c r="A22" s="380"/>
      <c r="B22" s="323">
        <v>45869</v>
      </c>
      <c r="C22" s="319"/>
      <c r="D22" s="324">
        <v>637626390.78000021</v>
      </c>
      <c r="E22" s="325">
        <v>4699394</v>
      </c>
      <c r="F22" s="325">
        <v>752263.53000000108</v>
      </c>
      <c r="G22" s="315"/>
    </row>
    <row r="23" spans="1:7" x14ac:dyDescent="0.2">
      <c r="A23" s="380"/>
      <c r="B23" s="323">
        <v>45900</v>
      </c>
      <c r="C23" s="319"/>
      <c r="D23" s="324">
        <v>632926996.78000021</v>
      </c>
      <c r="E23" s="325">
        <v>4589500.8500000015</v>
      </c>
      <c r="F23" s="325">
        <v>741271.73999999941</v>
      </c>
      <c r="G23" s="315"/>
    </row>
    <row r="24" spans="1:7" x14ac:dyDescent="0.2">
      <c r="A24" s="380"/>
      <c r="B24" s="323">
        <v>45930</v>
      </c>
      <c r="C24" s="319"/>
      <c r="D24" s="324">
        <v>628337495.93000019</v>
      </c>
      <c r="E24" s="325">
        <v>4601489.9599999916</v>
      </c>
      <c r="F24" s="325">
        <v>735927.62999999919</v>
      </c>
      <c r="G24" s="315"/>
    </row>
    <row r="25" spans="1:7" x14ac:dyDescent="0.2">
      <c r="A25" s="380"/>
      <c r="B25" s="323">
        <v>45961</v>
      </c>
      <c r="C25" s="319"/>
      <c r="D25" s="324">
        <v>623736005.97000015</v>
      </c>
      <c r="E25" s="325">
        <v>4547836.0899999989</v>
      </c>
      <c r="F25" s="325">
        <v>734518.70000000007</v>
      </c>
      <c r="G25" s="315"/>
    </row>
    <row r="26" spans="1:7" x14ac:dyDescent="0.2">
      <c r="A26" s="380"/>
      <c r="B26" s="323">
        <v>45991</v>
      </c>
      <c r="C26" s="319"/>
      <c r="D26" s="324">
        <v>619188169.88000011</v>
      </c>
      <c r="E26" s="325">
        <v>4472521.43</v>
      </c>
      <c r="F26" s="325">
        <v>723332.61000000115</v>
      </c>
      <c r="G26" s="315"/>
    </row>
    <row r="27" spans="1:7" x14ac:dyDescent="0.2">
      <c r="A27" s="380"/>
      <c r="B27" s="323">
        <v>46022</v>
      </c>
      <c r="C27" s="319"/>
      <c r="D27" s="324">
        <v>614715648.45000017</v>
      </c>
      <c r="E27" s="325">
        <v>4432849.009999997</v>
      </c>
      <c r="F27" s="325">
        <v>720048.76000000082</v>
      </c>
      <c r="G27" s="315"/>
    </row>
    <row r="28" spans="1:7" x14ac:dyDescent="0.2">
      <c r="A28" s="380"/>
      <c r="B28" s="323">
        <v>46053</v>
      </c>
      <c r="C28" s="319"/>
      <c r="D28" s="324">
        <v>610282799.44000018</v>
      </c>
      <c r="E28" s="325">
        <v>4425178.0100000044</v>
      </c>
      <c r="F28" s="325">
        <v>717126.05000000086</v>
      </c>
      <c r="G28" s="315"/>
    </row>
    <row r="29" spans="1:7" x14ac:dyDescent="0.2">
      <c r="A29" s="380"/>
      <c r="B29" s="323">
        <v>46081</v>
      </c>
      <c r="C29" s="319"/>
      <c r="D29" s="324">
        <v>605857621.43000019</v>
      </c>
      <c r="E29" s="325">
        <v>3640170.1200000048</v>
      </c>
      <c r="F29" s="325">
        <v>586598.40000000014</v>
      </c>
      <c r="G29" s="315"/>
    </row>
    <row r="30" spans="1:7" x14ac:dyDescent="0.2">
      <c r="A30" s="380"/>
      <c r="B30" s="323">
        <v>46112</v>
      </c>
      <c r="C30" s="319"/>
      <c r="D30" s="324">
        <v>602217451.31000018</v>
      </c>
      <c r="E30" s="325">
        <v>5070982.2600000137</v>
      </c>
      <c r="F30" s="325">
        <v>823968.58000000054</v>
      </c>
      <c r="G30" s="315"/>
    </row>
    <row r="31" spans="1:7" x14ac:dyDescent="0.2">
      <c r="A31" s="380"/>
      <c r="B31" s="323">
        <v>46142</v>
      </c>
      <c r="C31" s="319"/>
      <c r="D31" s="324">
        <v>597146469.05000019</v>
      </c>
      <c r="E31" s="325">
        <v>4364439.7200000063</v>
      </c>
      <c r="F31" s="325">
        <v>700344.09999999963</v>
      </c>
      <c r="G31" s="315"/>
    </row>
    <row r="32" spans="1:7" x14ac:dyDescent="0.2">
      <c r="A32" s="380"/>
      <c r="B32" s="323">
        <v>46173</v>
      </c>
      <c r="C32" s="319"/>
      <c r="D32" s="324">
        <v>592782029.33000016</v>
      </c>
      <c r="E32" s="325">
        <v>4318282.6300000008</v>
      </c>
      <c r="F32" s="325">
        <v>692014.33000000031</v>
      </c>
      <c r="G32" s="315"/>
    </row>
    <row r="33" spans="1:7" x14ac:dyDescent="0.2">
      <c r="A33" s="380"/>
      <c r="B33" s="323">
        <v>46203</v>
      </c>
      <c r="C33" s="319"/>
      <c r="D33" s="324">
        <v>588463746.70000017</v>
      </c>
      <c r="E33" s="325">
        <v>4305216.5999999978</v>
      </c>
      <c r="F33" s="325">
        <v>686614.87999999931</v>
      </c>
      <c r="G33" s="315"/>
    </row>
    <row r="34" spans="1:7" x14ac:dyDescent="0.2">
      <c r="A34" s="380"/>
      <c r="B34" s="323">
        <v>46234</v>
      </c>
      <c r="C34" s="319"/>
      <c r="D34" s="324">
        <v>584158530.10000014</v>
      </c>
      <c r="E34" s="325">
        <v>4337978.7000000048</v>
      </c>
      <c r="F34" s="325">
        <v>685601.27000000037</v>
      </c>
      <c r="G34" s="315"/>
    </row>
    <row r="35" spans="1:7" x14ac:dyDescent="0.2">
      <c r="A35" s="380"/>
      <c r="B35" s="323">
        <v>46265</v>
      </c>
      <c r="C35" s="319"/>
      <c r="D35" s="324">
        <v>579820551.4000001</v>
      </c>
      <c r="E35" s="325">
        <v>4281677.5699999882</v>
      </c>
      <c r="F35" s="325">
        <v>675627.64999999921</v>
      </c>
      <c r="G35" s="315"/>
    </row>
    <row r="36" spans="1:7" x14ac:dyDescent="0.2">
      <c r="A36" s="380"/>
      <c r="B36" s="323">
        <v>46295</v>
      </c>
      <c r="C36" s="319"/>
      <c r="D36" s="324">
        <v>575538873.83000016</v>
      </c>
      <c r="E36" s="325">
        <v>4273344.7599999905</v>
      </c>
      <c r="F36" s="325">
        <v>670866.66000000143</v>
      </c>
      <c r="G36" s="315"/>
    </row>
    <row r="37" spans="1:7" x14ac:dyDescent="0.2">
      <c r="A37" s="380"/>
      <c r="B37" s="323">
        <v>46326</v>
      </c>
      <c r="C37" s="319"/>
      <c r="D37" s="324">
        <v>571265529.07000017</v>
      </c>
      <c r="E37" s="325">
        <v>4312489.5300000031</v>
      </c>
      <c r="F37" s="325">
        <v>669857.51999999897</v>
      </c>
      <c r="G37" s="315"/>
    </row>
    <row r="38" spans="1:7" x14ac:dyDescent="0.2">
      <c r="A38" s="380"/>
      <c r="B38" s="323">
        <v>46356</v>
      </c>
      <c r="C38" s="319"/>
      <c r="D38" s="324">
        <v>566953039.5400002</v>
      </c>
      <c r="E38" s="325">
        <v>4252525.6599999983</v>
      </c>
      <c r="F38" s="325">
        <v>659426.46999999986</v>
      </c>
      <c r="G38" s="315"/>
    </row>
    <row r="39" spans="1:7" x14ac:dyDescent="0.2">
      <c r="A39" s="380"/>
      <c r="B39" s="323">
        <v>46387</v>
      </c>
      <c r="C39" s="319"/>
      <c r="D39" s="324">
        <v>562700513.88000023</v>
      </c>
      <c r="E39" s="325">
        <v>4777249.9799999958</v>
      </c>
      <c r="F39" s="325">
        <v>656409.27999999991</v>
      </c>
      <c r="G39" s="315"/>
    </row>
    <row r="40" spans="1:7" x14ac:dyDescent="0.2">
      <c r="A40" s="380"/>
      <c r="B40" s="323">
        <v>46418</v>
      </c>
      <c r="C40" s="319"/>
      <c r="D40" s="324">
        <v>557923263.90000021</v>
      </c>
      <c r="E40" s="325">
        <v>4267281.9799999958</v>
      </c>
      <c r="F40" s="325">
        <v>653247.65000000142</v>
      </c>
      <c r="G40" s="315"/>
    </row>
    <row r="41" spans="1:7" x14ac:dyDescent="0.2">
      <c r="A41" s="380"/>
      <c r="B41" s="323">
        <v>46446</v>
      </c>
      <c r="C41" s="319"/>
      <c r="D41" s="324">
        <v>553655981.9200002</v>
      </c>
      <c r="E41" s="325">
        <v>3511957.0200000033</v>
      </c>
      <c r="F41" s="325">
        <v>532659.04000000108</v>
      </c>
      <c r="G41" s="315"/>
    </row>
    <row r="42" spans="1:7" x14ac:dyDescent="0.2">
      <c r="A42" s="380"/>
      <c r="B42" s="323">
        <v>46477</v>
      </c>
      <c r="C42" s="319"/>
      <c r="D42" s="324">
        <v>550144024.90000021</v>
      </c>
      <c r="E42" s="325">
        <v>4901119.6000000136</v>
      </c>
      <c r="F42" s="325">
        <v>751452.60000000126</v>
      </c>
      <c r="G42" s="315"/>
    </row>
    <row r="43" spans="1:7" x14ac:dyDescent="0.2">
      <c r="A43" s="380"/>
      <c r="B43" s="323">
        <v>46507</v>
      </c>
      <c r="C43" s="319"/>
      <c r="D43" s="324">
        <v>545242905.30000019</v>
      </c>
      <c r="E43" s="325">
        <v>4428229.7100000083</v>
      </c>
      <c r="F43" s="325">
        <v>637331.46999999904</v>
      </c>
      <c r="G43" s="315"/>
    </row>
    <row r="44" spans="1:7" x14ac:dyDescent="0.2">
      <c r="A44" s="380"/>
      <c r="B44" s="323">
        <v>46538</v>
      </c>
      <c r="C44" s="319"/>
      <c r="D44" s="324">
        <v>540814675.59000015</v>
      </c>
      <c r="E44" s="325">
        <v>4176350.4200000092</v>
      </c>
      <c r="F44" s="325">
        <v>629329.23999999906</v>
      </c>
      <c r="G44" s="315"/>
    </row>
    <row r="45" spans="1:7" x14ac:dyDescent="0.2">
      <c r="A45" s="380"/>
      <c r="B45" s="323">
        <v>46568</v>
      </c>
      <c r="C45" s="319"/>
      <c r="D45" s="324">
        <v>536638325.17000014</v>
      </c>
      <c r="E45" s="325">
        <v>4163082.689999999</v>
      </c>
      <c r="F45" s="325">
        <v>624145.73999999929</v>
      </c>
      <c r="G45" s="315"/>
    </row>
    <row r="46" spans="1:7" x14ac:dyDescent="0.2">
      <c r="A46" s="380"/>
      <c r="B46" s="323">
        <v>46599</v>
      </c>
      <c r="C46" s="319"/>
      <c r="D46" s="324">
        <v>532475242.48000014</v>
      </c>
      <c r="E46" s="325">
        <v>4197201.1399999959</v>
      </c>
      <c r="F46" s="325">
        <v>623136.69000000076</v>
      </c>
      <c r="G46" s="315"/>
    </row>
    <row r="47" spans="1:7" x14ac:dyDescent="0.2">
      <c r="A47" s="380"/>
      <c r="B47" s="323">
        <v>46630</v>
      </c>
      <c r="C47" s="319"/>
      <c r="D47" s="324">
        <v>528278041.34000015</v>
      </c>
      <c r="E47" s="325">
        <v>4139496.5199999907</v>
      </c>
      <c r="F47" s="325">
        <v>613658.01000000047</v>
      </c>
      <c r="G47" s="315"/>
    </row>
    <row r="48" spans="1:7" x14ac:dyDescent="0.2">
      <c r="A48" s="380"/>
      <c r="B48" s="323">
        <v>46660</v>
      </c>
      <c r="C48" s="319"/>
      <c r="D48" s="324">
        <v>524138544.82000017</v>
      </c>
      <c r="E48" s="325">
        <v>4135009.5299999984</v>
      </c>
      <c r="F48" s="325">
        <v>609064.59000000032</v>
      </c>
      <c r="G48" s="315"/>
    </row>
    <row r="49" spans="1:7" x14ac:dyDescent="0.2">
      <c r="A49" s="380"/>
      <c r="B49" s="323">
        <v>46691</v>
      </c>
      <c r="C49" s="319"/>
      <c r="D49" s="324">
        <v>520003535.2900002</v>
      </c>
      <c r="E49" s="325">
        <v>4159875.6300000004</v>
      </c>
      <c r="F49" s="325">
        <v>608034.75000000128</v>
      </c>
      <c r="G49" s="315"/>
    </row>
    <row r="50" spans="1:7" x14ac:dyDescent="0.2">
      <c r="A50" s="380"/>
      <c r="B50" s="323">
        <v>46721</v>
      </c>
      <c r="C50" s="319"/>
      <c r="D50" s="324">
        <v>515843659.66000021</v>
      </c>
      <c r="E50" s="325">
        <v>4095379.0700000059</v>
      </c>
      <c r="F50" s="325">
        <v>598143.38000000059</v>
      </c>
      <c r="G50" s="315"/>
    </row>
    <row r="51" spans="1:7" x14ac:dyDescent="0.2">
      <c r="A51" s="380"/>
      <c r="B51" s="323">
        <v>46752</v>
      </c>
      <c r="C51" s="319"/>
      <c r="D51" s="324">
        <v>511748280.59000021</v>
      </c>
      <c r="E51" s="325">
        <v>4106327.9200000004</v>
      </c>
      <c r="F51" s="325">
        <v>595219.08000000077</v>
      </c>
      <c r="G51" s="315"/>
    </row>
    <row r="52" spans="1:7" x14ac:dyDescent="0.2">
      <c r="A52" s="380"/>
      <c r="B52" s="323">
        <v>46783</v>
      </c>
      <c r="C52" s="319"/>
      <c r="D52" s="324">
        <v>507641952.6700002</v>
      </c>
      <c r="E52" s="325">
        <v>4306088.4399999958</v>
      </c>
      <c r="F52" s="325">
        <v>592570.01000000117</v>
      </c>
      <c r="G52" s="315"/>
    </row>
    <row r="53" spans="1:7" x14ac:dyDescent="0.2">
      <c r="A53" s="380"/>
      <c r="B53" s="323">
        <v>46812</v>
      </c>
      <c r="C53" s="319"/>
      <c r="D53" s="324">
        <v>503335864.2300002</v>
      </c>
      <c r="E53" s="325">
        <v>3393319.3500000006</v>
      </c>
      <c r="F53" s="325">
        <v>482697.9200000001</v>
      </c>
      <c r="G53" s="315"/>
    </row>
    <row r="54" spans="1:7" x14ac:dyDescent="0.2">
      <c r="A54" s="380"/>
      <c r="B54" s="323">
        <v>46843</v>
      </c>
      <c r="C54" s="319"/>
      <c r="D54" s="324">
        <v>499942544.88000017</v>
      </c>
      <c r="E54" s="325">
        <v>4706791.4300000006</v>
      </c>
      <c r="F54" s="325">
        <v>680820.60000000056</v>
      </c>
      <c r="G54" s="315"/>
    </row>
    <row r="55" spans="1:7" x14ac:dyDescent="0.2">
      <c r="A55" s="380"/>
      <c r="B55" s="323">
        <v>46873</v>
      </c>
      <c r="C55" s="319"/>
      <c r="D55" s="324">
        <v>495235753.45000017</v>
      </c>
      <c r="E55" s="325">
        <v>4064301.8800000004</v>
      </c>
      <c r="F55" s="325">
        <v>577164.5399999998</v>
      </c>
      <c r="G55" s="315"/>
    </row>
    <row r="56" spans="1:7" x14ac:dyDescent="0.2">
      <c r="A56" s="380"/>
      <c r="B56" s="323">
        <v>46904</v>
      </c>
      <c r="C56" s="319"/>
      <c r="D56" s="324">
        <v>491171451.57000017</v>
      </c>
      <c r="E56" s="325">
        <v>4013454.7900000019</v>
      </c>
      <c r="F56" s="325">
        <v>569648.5699999989</v>
      </c>
      <c r="G56" s="315"/>
    </row>
    <row r="57" spans="1:7" x14ac:dyDescent="0.2">
      <c r="A57" s="380"/>
      <c r="B57" s="323">
        <v>46934</v>
      </c>
      <c r="C57" s="319"/>
      <c r="D57" s="324">
        <v>487157996.78000015</v>
      </c>
      <c r="E57" s="325">
        <v>4005101.1400000071</v>
      </c>
      <c r="F57" s="325">
        <v>564673.67999999993</v>
      </c>
      <c r="G57" s="315"/>
    </row>
    <row r="58" spans="1:7" x14ac:dyDescent="0.2">
      <c r="A58" s="380"/>
      <c r="B58" s="323">
        <v>46965</v>
      </c>
      <c r="C58" s="319"/>
      <c r="D58" s="324">
        <v>483152895.64000016</v>
      </c>
      <c r="E58" s="325">
        <v>4030269.1499999934</v>
      </c>
      <c r="F58" s="325">
        <v>563654.36000000162</v>
      </c>
      <c r="G58" s="315"/>
    </row>
    <row r="59" spans="1:7" x14ac:dyDescent="0.2">
      <c r="A59" s="380"/>
      <c r="B59" s="323">
        <v>46996</v>
      </c>
      <c r="C59" s="319"/>
      <c r="D59" s="324">
        <v>479122626.49000019</v>
      </c>
      <c r="E59" s="325">
        <v>4148221.9999999925</v>
      </c>
      <c r="F59" s="325">
        <v>554676.53000000014</v>
      </c>
      <c r="G59" s="315"/>
    </row>
    <row r="60" spans="1:7" x14ac:dyDescent="0.2">
      <c r="A60" s="380"/>
      <c r="B60" s="323">
        <v>47026</v>
      </c>
      <c r="C60" s="319"/>
      <c r="D60" s="324">
        <v>474974404.49000019</v>
      </c>
      <c r="E60" s="325">
        <v>3873072.9999999977</v>
      </c>
      <c r="F60" s="325">
        <v>550177.29000000027</v>
      </c>
      <c r="G60" s="315"/>
    </row>
    <row r="61" spans="1:7" x14ac:dyDescent="0.2">
      <c r="A61" s="380"/>
      <c r="B61" s="323">
        <v>47057</v>
      </c>
      <c r="C61" s="319"/>
      <c r="D61" s="324">
        <v>471101331.49000019</v>
      </c>
      <c r="E61" s="325">
        <v>3908836.3999999934</v>
      </c>
      <c r="F61" s="325">
        <v>549192.5299999998</v>
      </c>
      <c r="G61" s="315"/>
    </row>
    <row r="62" spans="1:7" x14ac:dyDescent="0.2">
      <c r="A62" s="380"/>
      <c r="B62" s="323">
        <v>47087</v>
      </c>
      <c r="C62" s="319"/>
      <c r="D62" s="324">
        <v>467192495.09000021</v>
      </c>
      <c r="E62" s="325">
        <v>3839692.3000000054</v>
      </c>
      <c r="F62" s="325">
        <v>539863.69999999949</v>
      </c>
      <c r="G62" s="315"/>
    </row>
    <row r="63" spans="1:7" x14ac:dyDescent="0.2">
      <c r="A63" s="380"/>
      <c r="B63" s="323">
        <v>47118</v>
      </c>
      <c r="C63" s="319"/>
      <c r="D63" s="324">
        <v>463352802.7900002</v>
      </c>
      <c r="E63" s="325">
        <v>3833019.7300000042</v>
      </c>
      <c r="F63" s="325">
        <v>537055.94000000053</v>
      </c>
      <c r="G63" s="315"/>
    </row>
    <row r="64" spans="1:7" x14ac:dyDescent="0.2">
      <c r="A64" s="380"/>
      <c r="B64" s="323">
        <v>47149</v>
      </c>
      <c r="C64" s="319"/>
      <c r="D64" s="324">
        <v>459519783.06000018</v>
      </c>
      <c r="E64" s="325">
        <v>3852788.5400000028</v>
      </c>
      <c r="F64" s="325">
        <v>534556.20999999973</v>
      </c>
      <c r="G64" s="315"/>
    </row>
    <row r="65" spans="1:7" x14ac:dyDescent="0.2">
      <c r="A65" s="380"/>
      <c r="B65" s="323">
        <v>47177</v>
      </c>
      <c r="C65" s="319"/>
      <c r="D65" s="324">
        <v>455666994.52000016</v>
      </c>
      <c r="E65" s="325">
        <v>3188929.2099999967</v>
      </c>
      <c r="F65" s="325">
        <v>432669.61999999947</v>
      </c>
      <c r="G65" s="315"/>
    </row>
    <row r="66" spans="1:7" x14ac:dyDescent="0.2">
      <c r="A66" s="380"/>
      <c r="B66" s="323">
        <v>47208</v>
      </c>
      <c r="C66" s="319"/>
      <c r="D66" s="324">
        <v>452478065.31000018</v>
      </c>
      <c r="E66" s="325">
        <v>4423805.0900000026</v>
      </c>
      <c r="F66" s="325">
        <v>616270.94999999891</v>
      </c>
      <c r="G66" s="315"/>
    </row>
    <row r="67" spans="1:7" x14ac:dyDescent="0.2">
      <c r="A67" s="380"/>
      <c r="B67" s="323">
        <v>47238</v>
      </c>
      <c r="C67" s="319"/>
      <c r="D67" s="324">
        <v>448054260.22000021</v>
      </c>
      <c r="E67" s="325">
        <v>3833348.1700000009</v>
      </c>
      <c r="F67" s="325">
        <v>520050.85000000038</v>
      </c>
      <c r="G67" s="315"/>
    </row>
    <row r="68" spans="1:7" x14ac:dyDescent="0.2">
      <c r="A68" s="380"/>
      <c r="B68" s="323">
        <v>47269</v>
      </c>
      <c r="C68" s="319"/>
      <c r="D68" s="324">
        <v>444220912.05000019</v>
      </c>
      <c r="E68" s="325">
        <v>3790611.4299999969</v>
      </c>
      <c r="F68" s="325">
        <v>512924.41999999987</v>
      </c>
      <c r="G68" s="315"/>
    </row>
    <row r="69" spans="1:7" x14ac:dyDescent="0.2">
      <c r="A69" s="380"/>
      <c r="B69" s="323">
        <v>47299</v>
      </c>
      <c r="C69" s="319"/>
      <c r="D69" s="324">
        <v>440430300.62000018</v>
      </c>
      <c r="E69" s="325">
        <v>3776699.0200000028</v>
      </c>
      <c r="F69" s="325">
        <v>508120.25999999995</v>
      </c>
      <c r="G69" s="315"/>
    </row>
    <row r="70" spans="1:7" x14ac:dyDescent="0.2">
      <c r="A70" s="380"/>
      <c r="B70" s="323">
        <v>47330</v>
      </c>
      <c r="C70" s="319"/>
      <c r="D70" s="324">
        <v>436653601.6000002</v>
      </c>
      <c r="E70" s="325">
        <v>3801034.0900000096</v>
      </c>
      <c r="F70" s="325">
        <v>507074.28999999951</v>
      </c>
      <c r="G70" s="315"/>
    </row>
    <row r="71" spans="1:7" x14ac:dyDescent="0.2">
      <c r="A71" s="380"/>
      <c r="B71" s="323">
        <v>47361</v>
      </c>
      <c r="C71" s="319"/>
      <c r="D71" s="324">
        <v>432852567.51000017</v>
      </c>
      <c r="E71" s="325">
        <v>3710872.2299999981</v>
      </c>
      <c r="F71" s="325">
        <v>498586.13000000129</v>
      </c>
      <c r="G71" s="315"/>
    </row>
    <row r="72" spans="1:7" x14ac:dyDescent="0.2">
      <c r="A72" s="380"/>
      <c r="B72" s="323">
        <v>47391</v>
      </c>
      <c r="C72" s="319"/>
      <c r="D72" s="324">
        <v>429141695.28000015</v>
      </c>
      <c r="E72" s="325">
        <v>3697534.3900000104</v>
      </c>
      <c r="F72" s="325">
        <v>494389.56000000017</v>
      </c>
      <c r="G72" s="315"/>
    </row>
    <row r="73" spans="1:7" x14ac:dyDescent="0.2">
      <c r="A73" s="380"/>
      <c r="B73" s="323">
        <v>47422</v>
      </c>
      <c r="C73" s="319"/>
      <c r="D73" s="324">
        <v>425444160.89000016</v>
      </c>
      <c r="E73" s="325">
        <v>3721968.9799999925</v>
      </c>
      <c r="F73" s="325">
        <v>493433.92</v>
      </c>
      <c r="G73" s="315"/>
    </row>
    <row r="74" spans="1:7" x14ac:dyDescent="0.2">
      <c r="A74" s="380"/>
      <c r="B74" s="323">
        <v>47452</v>
      </c>
      <c r="C74" s="319"/>
      <c r="D74" s="324">
        <v>421722191.91000015</v>
      </c>
      <c r="E74" s="325">
        <v>3609985.459999999</v>
      </c>
      <c r="F74" s="325">
        <v>484701.10000000079</v>
      </c>
      <c r="G74" s="315"/>
    </row>
    <row r="75" spans="1:7" x14ac:dyDescent="0.2">
      <c r="A75" s="380"/>
      <c r="B75" s="323">
        <v>47483</v>
      </c>
      <c r="C75" s="319"/>
      <c r="D75" s="324">
        <v>418112206.45000017</v>
      </c>
      <c r="E75" s="325">
        <v>3577385.4399999981</v>
      </c>
      <c r="F75" s="325">
        <v>482116.93000000046</v>
      </c>
      <c r="G75" s="315"/>
    </row>
    <row r="76" spans="1:7" x14ac:dyDescent="0.2">
      <c r="A76" s="380"/>
      <c r="B76" s="323">
        <v>47514</v>
      </c>
      <c r="C76" s="319"/>
      <c r="D76" s="324">
        <v>414534821.01000017</v>
      </c>
      <c r="E76" s="325">
        <v>3570478.1700000102</v>
      </c>
      <c r="F76" s="325">
        <v>479911.42000000033</v>
      </c>
      <c r="G76" s="315"/>
    </row>
    <row r="77" spans="1:7" x14ac:dyDescent="0.2">
      <c r="A77" s="380"/>
      <c r="B77" s="323">
        <v>47542</v>
      </c>
      <c r="C77" s="319"/>
      <c r="D77" s="324">
        <v>410964342.84000015</v>
      </c>
      <c r="E77" s="325">
        <v>2893249.5799999991</v>
      </c>
      <c r="F77" s="325">
        <v>387103.73999999987</v>
      </c>
      <c r="G77" s="315"/>
    </row>
    <row r="78" spans="1:7" x14ac:dyDescent="0.2">
      <c r="A78" s="380"/>
      <c r="B78" s="323">
        <v>47573</v>
      </c>
      <c r="C78" s="319"/>
      <c r="D78" s="324">
        <v>408071093.26000017</v>
      </c>
      <c r="E78" s="325">
        <v>4420587.7700000005</v>
      </c>
      <c r="F78" s="325">
        <v>554427.60000000126</v>
      </c>
      <c r="G78" s="315"/>
    </row>
    <row r="79" spans="1:7" x14ac:dyDescent="0.2">
      <c r="A79" s="380"/>
      <c r="B79" s="323">
        <v>47603</v>
      </c>
      <c r="C79" s="319"/>
      <c r="D79" s="324">
        <v>403650505.49000019</v>
      </c>
      <c r="E79" s="325">
        <v>4019418.3700000034</v>
      </c>
      <c r="F79" s="325">
        <v>466685.02000000118</v>
      </c>
      <c r="G79" s="315"/>
    </row>
    <row r="80" spans="1:7" x14ac:dyDescent="0.2">
      <c r="A80" s="380"/>
      <c r="B80" s="323">
        <v>47634</v>
      </c>
      <c r="C80" s="319"/>
      <c r="D80" s="324">
        <v>399631087.12000018</v>
      </c>
      <c r="E80" s="325">
        <v>3454721.1299999943</v>
      </c>
      <c r="F80" s="325">
        <v>459910.01000000047</v>
      </c>
      <c r="G80" s="315"/>
    </row>
    <row r="81" spans="1:7" x14ac:dyDescent="0.2">
      <c r="A81" s="380"/>
      <c r="B81" s="323">
        <v>47664</v>
      </c>
      <c r="C81" s="319"/>
      <c r="D81" s="324">
        <v>396176365.99000019</v>
      </c>
      <c r="E81" s="325">
        <v>3425050.8699999987</v>
      </c>
      <c r="F81" s="325">
        <v>455665.24000000034</v>
      </c>
      <c r="G81" s="315"/>
    </row>
    <row r="82" spans="1:7" x14ac:dyDescent="0.2">
      <c r="A82" s="380"/>
      <c r="B82" s="323">
        <v>47695</v>
      </c>
      <c r="C82" s="319"/>
      <c r="D82" s="324">
        <v>392751315.12000018</v>
      </c>
      <c r="E82" s="325">
        <v>3648427.9799999977</v>
      </c>
      <c r="F82" s="325">
        <v>454966.11000000016</v>
      </c>
      <c r="G82" s="315"/>
    </row>
    <row r="83" spans="1:7" x14ac:dyDescent="0.2">
      <c r="A83" s="380"/>
      <c r="B83" s="323">
        <v>47726</v>
      </c>
      <c r="C83" s="319"/>
      <c r="D83" s="324">
        <v>389102887.14000016</v>
      </c>
      <c r="E83" s="325">
        <v>3388430.2499999972</v>
      </c>
      <c r="F83" s="325">
        <v>447209.85000000009</v>
      </c>
      <c r="G83" s="315"/>
    </row>
    <row r="84" spans="1:7" x14ac:dyDescent="0.2">
      <c r="A84" s="380"/>
      <c r="B84" s="323">
        <v>47756</v>
      </c>
      <c r="C84" s="319"/>
      <c r="D84" s="324">
        <v>385714456.89000016</v>
      </c>
      <c r="E84" s="325">
        <v>4475829.2099999962</v>
      </c>
      <c r="F84" s="325">
        <v>443487.4800000001</v>
      </c>
      <c r="G84" s="315"/>
    </row>
    <row r="85" spans="1:7" x14ac:dyDescent="0.2">
      <c r="A85" s="380"/>
      <c r="B85" s="323">
        <v>47787</v>
      </c>
      <c r="C85" s="319"/>
      <c r="D85" s="324">
        <v>381238627.68000019</v>
      </c>
      <c r="E85" s="325">
        <v>3394463.9699999942</v>
      </c>
      <c r="F85" s="325">
        <v>442069.97000000073</v>
      </c>
      <c r="G85" s="315"/>
    </row>
    <row r="86" spans="1:7" x14ac:dyDescent="0.2">
      <c r="A86" s="380"/>
      <c r="B86" s="323">
        <v>47817</v>
      </c>
      <c r="C86" s="319"/>
      <c r="D86" s="324">
        <v>377844163.71000022</v>
      </c>
      <c r="E86" s="325">
        <v>3319669.309999994</v>
      </c>
      <c r="F86" s="325">
        <v>434147.57999999984</v>
      </c>
      <c r="G86" s="315"/>
    </row>
    <row r="87" spans="1:7" x14ac:dyDescent="0.2">
      <c r="A87" s="380"/>
      <c r="B87" s="323">
        <v>47848</v>
      </c>
      <c r="C87" s="319"/>
      <c r="D87" s="324">
        <v>374524494.40000021</v>
      </c>
      <c r="E87" s="325">
        <v>3319129.7700000005</v>
      </c>
      <c r="F87" s="325">
        <v>431838.16999999958</v>
      </c>
      <c r="G87" s="315"/>
    </row>
    <row r="88" spans="1:7" x14ac:dyDescent="0.2">
      <c r="A88" s="380"/>
      <c r="B88" s="323">
        <v>47879</v>
      </c>
      <c r="C88" s="319"/>
      <c r="D88" s="324">
        <v>371205364.63000023</v>
      </c>
      <c r="E88" s="325">
        <v>3314301.3300000038</v>
      </c>
      <c r="F88" s="325">
        <v>429854.19999999972</v>
      </c>
      <c r="G88" s="315"/>
    </row>
    <row r="89" spans="1:7" x14ac:dyDescent="0.2">
      <c r="A89" s="380"/>
      <c r="B89" s="323">
        <v>47907</v>
      </c>
      <c r="C89" s="319"/>
      <c r="D89" s="324">
        <v>367891063.30000025</v>
      </c>
      <c r="E89" s="325">
        <v>2684164.5799999987</v>
      </c>
      <c r="F89" s="325">
        <v>345748.44999999984</v>
      </c>
      <c r="G89" s="315"/>
    </row>
    <row r="90" spans="1:7" x14ac:dyDescent="0.2">
      <c r="A90" s="380"/>
      <c r="B90" s="323">
        <v>47938</v>
      </c>
      <c r="C90" s="319"/>
      <c r="D90" s="324">
        <v>365206898.72000027</v>
      </c>
      <c r="E90" s="325">
        <v>3839435.8099999987</v>
      </c>
      <c r="F90" s="325">
        <v>497116.15999999992</v>
      </c>
      <c r="G90" s="315"/>
    </row>
    <row r="91" spans="1:7" x14ac:dyDescent="0.2">
      <c r="A91" s="380"/>
      <c r="B91" s="323">
        <v>47968</v>
      </c>
      <c r="C91" s="319"/>
      <c r="D91" s="324">
        <v>361367462.91000026</v>
      </c>
      <c r="E91" s="325">
        <v>3288184.299999998</v>
      </c>
      <c r="F91" s="325">
        <v>417922.12999999936</v>
      </c>
      <c r="G91" s="315"/>
    </row>
    <row r="92" spans="1:7" x14ac:dyDescent="0.2">
      <c r="A92" s="380"/>
      <c r="B92" s="323">
        <v>47999</v>
      </c>
      <c r="C92" s="319"/>
      <c r="D92" s="324">
        <v>358079278.61000025</v>
      </c>
      <c r="E92" s="325">
        <v>3244881.8600000008</v>
      </c>
      <c r="F92" s="325">
        <v>412024.73999999953</v>
      </c>
      <c r="G92" s="315"/>
    </row>
    <row r="93" spans="1:7" x14ac:dyDescent="0.2">
      <c r="A93" s="380"/>
      <c r="B93" s="323">
        <v>48029</v>
      </c>
      <c r="C93" s="319"/>
      <c r="D93" s="324">
        <v>354834396.75000024</v>
      </c>
      <c r="E93" s="325">
        <v>3240430.0200000009</v>
      </c>
      <c r="F93" s="325">
        <v>408039.03000000014</v>
      </c>
      <c r="G93" s="315"/>
    </row>
    <row r="94" spans="1:7" x14ac:dyDescent="0.2">
      <c r="A94" s="380"/>
      <c r="B94" s="323">
        <v>48060</v>
      </c>
      <c r="C94" s="319"/>
      <c r="D94" s="324">
        <v>351593966.73000026</v>
      </c>
      <c r="E94" s="325">
        <v>3279163.2799999933</v>
      </c>
      <c r="F94" s="325">
        <v>407369.96999999945</v>
      </c>
      <c r="G94" s="315"/>
    </row>
    <row r="95" spans="1:7" x14ac:dyDescent="0.2">
      <c r="A95" s="380"/>
      <c r="B95" s="323">
        <v>48091</v>
      </c>
      <c r="C95" s="319"/>
      <c r="D95" s="324">
        <v>348314803.45000029</v>
      </c>
      <c r="E95" s="325">
        <v>3221774.0199999944</v>
      </c>
      <c r="F95" s="325">
        <v>400266.98999999941</v>
      </c>
      <c r="G95" s="315"/>
    </row>
    <row r="96" spans="1:7" x14ac:dyDescent="0.2">
      <c r="A96" s="380"/>
      <c r="B96" s="323">
        <v>48121</v>
      </c>
      <c r="C96" s="319"/>
      <c r="D96" s="324">
        <v>345093029.43000031</v>
      </c>
      <c r="E96" s="325">
        <v>3370247.0600000056</v>
      </c>
      <c r="F96" s="325">
        <v>396732.8400000002</v>
      </c>
      <c r="G96" s="315"/>
    </row>
    <row r="97" spans="1:7" x14ac:dyDescent="0.2">
      <c r="A97" s="380"/>
      <c r="B97" s="323">
        <v>48152</v>
      </c>
      <c r="C97" s="319"/>
      <c r="D97" s="324">
        <v>341722782.3700003</v>
      </c>
      <c r="E97" s="325">
        <v>3254442.9800000023</v>
      </c>
      <c r="F97" s="325">
        <v>395938.47999999911</v>
      </c>
      <c r="G97" s="315"/>
    </row>
    <row r="98" spans="1:7" x14ac:dyDescent="0.2">
      <c r="A98" s="380"/>
      <c r="B98" s="323">
        <v>48182</v>
      </c>
      <c r="C98" s="319"/>
      <c r="D98" s="324">
        <v>338468339.39000028</v>
      </c>
      <c r="E98" s="325">
        <v>3184302.5500000026</v>
      </c>
      <c r="F98" s="325">
        <v>388527.02999999974</v>
      </c>
      <c r="G98" s="315"/>
    </row>
    <row r="99" spans="1:7" x14ac:dyDescent="0.2">
      <c r="A99" s="380"/>
      <c r="B99" s="323">
        <v>48213</v>
      </c>
      <c r="C99" s="319"/>
      <c r="D99" s="324">
        <v>335284036.84000027</v>
      </c>
      <c r="E99" s="325">
        <v>3187547.2399999974</v>
      </c>
      <c r="F99" s="325">
        <v>386255.39999999991</v>
      </c>
      <c r="G99" s="315"/>
    </row>
    <row r="100" spans="1:7" x14ac:dyDescent="0.2">
      <c r="A100" s="380"/>
      <c r="B100" s="323">
        <v>48244</v>
      </c>
      <c r="C100" s="319"/>
      <c r="D100" s="324">
        <v>332096489.60000026</v>
      </c>
      <c r="E100" s="325">
        <v>3731550.4</v>
      </c>
      <c r="F100" s="325">
        <v>384320.79000000114</v>
      </c>
      <c r="G100" s="315"/>
    </row>
    <row r="101" spans="1:7" x14ac:dyDescent="0.2">
      <c r="A101" s="380"/>
      <c r="B101" s="323">
        <v>48273</v>
      </c>
      <c r="C101" s="319"/>
      <c r="D101" s="324">
        <v>328364939.20000029</v>
      </c>
      <c r="E101" s="325">
        <v>2712045.600000001</v>
      </c>
      <c r="F101" s="325">
        <v>308694.72000000055</v>
      </c>
      <c r="G101" s="315"/>
    </row>
    <row r="102" spans="1:7" x14ac:dyDescent="0.2">
      <c r="A102" s="380"/>
      <c r="B102" s="323">
        <v>48304</v>
      </c>
      <c r="C102" s="319"/>
      <c r="D102" s="324">
        <v>325652893.60000026</v>
      </c>
      <c r="E102" s="325">
        <v>4091273.0799999977</v>
      </c>
      <c r="F102" s="325">
        <v>443333.1099999994</v>
      </c>
      <c r="G102" s="315"/>
    </row>
    <row r="103" spans="1:7" x14ac:dyDescent="0.2">
      <c r="A103" s="380"/>
      <c r="B103" s="323">
        <v>48334</v>
      </c>
      <c r="C103" s="319"/>
      <c r="D103" s="324">
        <v>321561620.52000028</v>
      </c>
      <c r="E103" s="325">
        <v>3144538.1700000032</v>
      </c>
      <c r="F103" s="325">
        <v>372273.71000000025</v>
      </c>
      <c r="G103" s="315"/>
    </row>
    <row r="104" spans="1:7" x14ac:dyDescent="0.2">
      <c r="A104" s="380"/>
      <c r="B104" s="323">
        <v>48365</v>
      </c>
      <c r="C104" s="319"/>
      <c r="D104" s="324">
        <v>318417082.35000026</v>
      </c>
      <c r="E104" s="325">
        <v>3082401.89</v>
      </c>
      <c r="F104" s="325">
        <v>366762.46999999945</v>
      </c>
      <c r="G104" s="315"/>
    </row>
    <row r="105" spans="1:7" x14ac:dyDescent="0.2">
      <c r="A105" s="380"/>
      <c r="B105" s="323">
        <v>48395</v>
      </c>
      <c r="C105" s="319"/>
      <c r="D105" s="324">
        <v>315334680.46000028</v>
      </c>
      <c r="E105" s="325">
        <v>3071719.3699999978</v>
      </c>
      <c r="F105" s="325">
        <v>362976.27999999985</v>
      </c>
      <c r="G105" s="315"/>
    </row>
    <row r="106" spans="1:7" x14ac:dyDescent="0.2">
      <c r="A106" s="380"/>
      <c r="B106" s="323">
        <v>48426</v>
      </c>
      <c r="C106" s="319"/>
      <c r="D106" s="324">
        <v>312262961.09000027</v>
      </c>
      <c r="E106" s="325">
        <v>3112444.6600000029</v>
      </c>
      <c r="F106" s="325">
        <v>362300.83</v>
      </c>
      <c r="G106" s="315"/>
    </row>
    <row r="107" spans="1:7" x14ac:dyDescent="0.2">
      <c r="A107" s="380"/>
      <c r="B107" s="323">
        <v>48457</v>
      </c>
      <c r="C107" s="319"/>
      <c r="D107" s="324">
        <v>309150516.43000025</v>
      </c>
      <c r="E107" s="325">
        <v>3251429.7699999982</v>
      </c>
      <c r="F107" s="325">
        <v>355702.13999999984</v>
      </c>
      <c r="G107" s="315"/>
    </row>
    <row r="108" spans="1:7" x14ac:dyDescent="0.2">
      <c r="A108" s="380"/>
      <c r="B108" s="323">
        <v>48487</v>
      </c>
      <c r="C108" s="319"/>
      <c r="D108" s="324">
        <v>305899086.66000026</v>
      </c>
      <c r="E108" s="325">
        <v>4501497.0299999975</v>
      </c>
      <c r="F108" s="325">
        <v>352192.40000000095</v>
      </c>
      <c r="G108" s="315"/>
    </row>
    <row r="109" spans="1:7" x14ac:dyDescent="0.2">
      <c r="A109" s="380"/>
      <c r="B109" s="323">
        <v>48518</v>
      </c>
      <c r="C109" s="319"/>
      <c r="D109" s="324">
        <v>301397589.63000029</v>
      </c>
      <c r="E109" s="325">
        <v>4474409.1599999955</v>
      </c>
      <c r="F109" s="325">
        <v>350292.84000000008</v>
      </c>
      <c r="G109" s="315"/>
    </row>
    <row r="110" spans="1:7" x14ac:dyDescent="0.2">
      <c r="A110" s="380"/>
      <c r="B110" s="323">
        <v>48548</v>
      </c>
      <c r="C110" s="319"/>
      <c r="D110" s="324">
        <v>296923180.47000033</v>
      </c>
      <c r="E110" s="325">
        <v>3008358.2800000026</v>
      </c>
      <c r="F110" s="325">
        <v>341437.78</v>
      </c>
      <c r="G110" s="315"/>
    </row>
    <row r="111" spans="1:7" x14ac:dyDescent="0.2">
      <c r="A111" s="380"/>
      <c r="B111" s="323">
        <v>48579</v>
      </c>
      <c r="C111" s="319"/>
      <c r="D111" s="324">
        <v>293914822.1900003</v>
      </c>
      <c r="E111" s="325">
        <v>3017693.6199999969</v>
      </c>
      <c r="F111" s="325">
        <v>339251.97999999992</v>
      </c>
      <c r="G111" s="315"/>
    </row>
    <row r="112" spans="1:7" x14ac:dyDescent="0.2">
      <c r="A112" s="380"/>
      <c r="B112" s="323">
        <v>48610</v>
      </c>
      <c r="C112" s="319"/>
      <c r="D112" s="324">
        <v>290897128.57000029</v>
      </c>
      <c r="E112" s="325">
        <v>3038711.55</v>
      </c>
      <c r="F112" s="325">
        <v>337410.03999999916</v>
      </c>
      <c r="G112" s="315"/>
    </row>
    <row r="113" spans="1:7" x14ac:dyDescent="0.2">
      <c r="A113" s="380"/>
      <c r="B113" s="323">
        <v>48638</v>
      </c>
      <c r="C113" s="319"/>
      <c r="D113" s="324">
        <v>287858417.02000028</v>
      </c>
      <c r="E113" s="325">
        <v>2439431.5399999996</v>
      </c>
      <c r="F113" s="325">
        <v>271029.98000000033</v>
      </c>
      <c r="G113" s="315"/>
    </row>
    <row r="114" spans="1:7" x14ac:dyDescent="0.2">
      <c r="A114" s="380"/>
      <c r="B114" s="323">
        <v>48669</v>
      </c>
      <c r="C114" s="319"/>
      <c r="D114" s="324">
        <v>285418985.48000026</v>
      </c>
      <c r="E114" s="325">
        <v>3487805.6299999994</v>
      </c>
      <c r="F114" s="325">
        <v>388933.93</v>
      </c>
      <c r="G114" s="315"/>
    </row>
    <row r="115" spans="1:7" x14ac:dyDescent="0.2">
      <c r="A115" s="380"/>
      <c r="B115" s="323">
        <v>48699</v>
      </c>
      <c r="C115" s="319"/>
      <c r="D115" s="324">
        <v>281931179.85000026</v>
      </c>
      <c r="E115" s="325">
        <v>3806819.309999994</v>
      </c>
      <c r="F115" s="325">
        <v>326747.51000000065</v>
      </c>
      <c r="G115" s="315"/>
    </row>
    <row r="116" spans="1:7" x14ac:dyDescent="0.2">
      <c r="A116" s="380"/>
      <c r="B116" s="323">
        <v>48730</v>
      </c>
      <c r="C116" s="319"/>
      <c r="D116" s="324">
        <v>278124360.54000026</v>
      </c>
      <c r="E116" s="325">
        <v>2936883.8699999982</v>
      </c>
      <c r="F116" s="325">
        <v>320547.76999999967</v>
      </c>
      <c r="G116" s="315"/>
    </row>
    <row r="117" spans="1:7" x14ac:dyDescent="0.2">
      <c r="A117" s="380"/>
      <c r="B117" s="323">
        <v>48760</v>
      </c>
      <c r="C117" s="319"/>
      <c r="D117" s="324">
        <v>275187476.67000026</v>
      </c>
      <c r="E117" s="325">
        <v>4528153.3600000069</v>
      </c>
      <c r="F117" s="325">
        <v>316947.02000000048</v>
      </c>
      <c r="G117" s="315"/>
    </row>
    <row r="118" spans="1:7" x14ac:dyDescent="0.2">
      <c r="A118" s="380"/>
      <c r="B118" s="323">
        <v>48791</v>
      </c>
      <c r="C118" s="319"/>
      <c r="D118" s="324">
        <v>270659323.31000024</v>
      </c>
      <c r="E118" s="325">
        <v>2959006.9700000039</v>
      </c>
      <c r="F118" s="325">
        <v>314510.7999999997</v>
      </c>
      <c r="G118" s="315"/>
    </row>
    <row r="119" spans="1:7" x14ac:dyDescent="0.2">
      <c r="A119" s="380"/>
      <c r="B119" s="323">
        <v>48822</v>
      </c>
      <c r="C119" s="319"/>
      <c r="D119" s="324">
        <v>267700316.34000024</v>
      </c>
      <c r="E119" s="325">
        <v>3229594.0500000003</v>
      </c>
      <c r="F119" s="325">
        <v>308425.47999999917</v>
      </c>
      <c r="G119" s="315"/>
    </row>
    <row r="120" spans="1:7" x14ac:dyDescent="0.2">
      <c r="A120" s="380"/>
      <c r="B120" s="323">
        <v>48852</v>
      </c>
      <c r="C120" s="319"/>
      <c r="D120" s="324">
        <v>264470722.29000023</v>
      </c>
      <c r="E120" s="325">
        <v>2873552.5500000012</v>
      </c>
      <c r="F120" s="325">
        <v>304938.16000000032</v>
      </c>
      <c r="G120" s="315"/>
    </row>
    <row r="121" spans="1:7" x14ac:dyDescent="0.2">
      <c r="A121" s="380"/>
      <c r="B121" s="323">
        <v>48883</v>
      </c>
      <c r="C121" s="319"/>
      <c r="D121" s="324">
        <v>261597169.74000022</v>
      </c>
      <c r="E121" s="325">
        <v>2902452.0899999985</v>
      </c>
      <c r="F121" s="325">
        <v>304253.68000000017</v>
      </c>
      <c r="G121" s="315"/>
    </row>
    <row r="122" spans="1:7" x14ac:dyDescent="0.2">
      <c r="A122" s="380"/>
      <c r="B122" s="323">
        <v>48913</v>
      </c>
      <c r="C122" s="319"/>
      <c r="D122" s="324">
        <v>258694717.65000021</v>
      </c>
      <c r="E122" s="325">
        <v>2835067.0099999979</v>
      </c>
      <c r="F122" s="325">
        <v>297972.94999999955</v>
      </c>
      <c r="G122" s="315"/>
    </row>
    <row r="123" spans="1:7" x14ac:dyDescent="0.2">
      <c r="A123" s="380"/>
      <c r="B123" s="323">
        <v>48944</v>
      </c>
      <c r="C123" s="319"/>
      <c r="D123" s="324">
        <v>255859650.64000022</v>
      </c>
      <c r="E123" s="325">
        <v>3447288.43</v>
      </c>
      <c r="F123" s="325">
        <v>295890.77999999968</v>
      </c>
      <c r="G123" s="315"/>
    </row>
    <row r="124" spans="1:7" x14ac:dyDescent="0.2">
      <c r="A124" s="380"/>
      <c r="B124" s="323">
        <v>48975</v>
      </c>
      <c r="C124" s="319"/>
      <c r="D124" s="324">
        <v>252412362.21000022</v>
      </c>
      <c r="E124" s="325">
        <v>2870288.8999999985</v>
      </c>
      <c r="F124" s="325">
        <v>293596.93999999959</v>
      </c>
      <c r="G124" s="315"/>
    </row>
    <row r="125" spans="1:7" x14ac:dyDescent="0.2">
      <c r="A125" s="380"/>
      <c r="B125" s="323">
        <v>49003</v>
      </c>
      <c r="C125" s="319"/>
      <c r="D125" s="324">
        <v>249542073.31000021</v>
      </c>
      <c r="E125" s="325">
        <v>2303763.4000000004</v>
      </c>
      <c r="F125" s="325">
        <v>234870.69000000012</v>
      </c>
      <c r="G125" s="315"/>
    </row>
    <row r="126" spans="1:7" x14ac:dyDescent="0.2">
      <c r="A126" s="380"/>
      <c r="B126" s="323">
        <v>49034</v>
      </c>
      <c r="C126" s="319"/>
      <c r="D126" s="324">
        <v>247238309.91000021</v>
      </c>
      <c r="E126" s="325">
        <v>3343944.9700000104</v>
      </c>
      <c r="F126" s="325">
        <v>338560.7</v>
      </c>
      <c r="G126" s="315"/>
    </row>
    <row r="127" spans="1:7" x14ac:dyDescent="0.2">
      <c r="A127" s="380"/>
      <c r="B127" s="323">
        <v>49064</v>
      </c>
      <c r="C127" s="319"/>
      <c r="D127" s="324">
        <v>243894364.94000021</v>
      </c>
      <c r="E127" s="325">
        <v>2850952.9000000041</v>
      </c>
      <c r="F127" s="325">
        <v>283578.51</v>
      </c>
      <c r="G127" s="315"/>
    </row>
    <row r="128" spans="1:7" x14ac:dyDescent="0.2">
      <c r="A128" s="380"/>
      <c r="B128" s="323">
        <v>49095</v>
      </c>
      <c r="C128" s="319"/>
      <c r="D128" s="324">
        <v>241043412.0400002</v>
      </c>
      <c r="E128" s="325">
        <v>2803857.3200000031</v>
      </c>
      <c r="F128" s="325">
        <v>278835.97999999946</v>
      </c>
      <c r="G128" s="315"/>
    </row>
    <row r="129" spans="1:7" x14ac:dyDescent="0.2">
      <c r="A129" s="380"/>
      <c r="B129" s="323">
        <v>49125</v>
      </c>
      <c r="C129" s="319"/>
      <c r="D129" s="324">
        <v>238239554.72000021</v>
      </c>
      <c r="E129" s="325">
        <v>2776982.959999999</v>
      </c>
      <c r="F129" s="325">
        <v>275388.80999999971</v>
      </c>
      <c r="G129" s="315"/>
    </row>
    <row r="130" spans="1:7" x14ac:dyDescent="0.2">
      <c r="A130" s="380"/>
      <c r="B130" s="323">
        <v>49156</v>
      </c>
      <c r="C130" s="319"/>
      <c r="D130" s="324">
        <v>235462571.7600002</v>
      </c>
      <c r="E130" s="325">
        <v>2807998.4</v>
      </c>
      <c r="F130" s="325">
        <v>274646.01000000013</v>
      </c>
      <c r="G130" s="315"/>
    </row>
    <row r="131" spans="1:7" x14ac:dyDescent="0.2">
      <c r="A131" s="380"/>
      <c r="B131" s="323">
        <v>49187</v>
      </c>
      <c r="C131" s="319"/>
      <c r="D131" s="324">
        <v>232654573.36000019</v>
      </c>
      <c r="E131" s="325">
        <v>3936328.8500000034</v>
      </c>
      <c r="F131" s="325">
        <v>269041.9099999998</v>
      </c>
      <c r="G131" s="315"/>
    </row>
    <row r="132" spans="1:7" x14ac:dyDescent="0.2">
      <c r="A132" s="380"/>
      <c r="B132" s="323">
        <v>49217</v>
      </c>
      <c r="C132" s="319"/>
      <c r="D132" s="324">
        <v>228718244.5100002</v>
      </c>
      <c r="E132" s="325">
        <v>2707973.6799999992</v>
      </c>
      <c r="F132" s="325">
        <v>264657.37000000011</v>
      </c>
      <c r="G132" s="315"/>
    </row>
    <row r="133" spans="1:7" x14ac:dyDescent="0.2">
      <c r="A133" s="380"/>
      <c r="B133" s="323">
        <v>49248</v>
      </c>
      <c r="C133" s="319"/>
      <c r="D133" s="324">
        <v>226010270.83000019</v>
      </c>
      <c r="E133" s="325">
        <v>2720286.6300000022</v>
      </c>
      <c r="F133" s="325">
        <v>263960.16999999993</v>
      </c>
      <c r="G133" s="315"/>
    </row>
    <row r="134" spans="1:7" x14ac:dyDescent="0.2">
      <c r="A134" s="380"/>
      <c r="B134" s="323">
        <v>49278</v>
      </c>
      <c r="C134" s="319"/>
      <c r="D134" s="324">
        <v>223289984.2000002</v>
      </c>
      <c r="E134" s="325">
        <v>2638850.1900000023</v>
      </c>
      <c r="F134" s="325">
        <v>258257.06000000014</v>
      </c>
      <c r="G134" s="315"/>
    </row>
    <row r="135" spans="1:7" x14ac:dyDescent="0.2">
      <c r="A135" s="380"/>
      <c r="B135" s="323">
        <v>49309</v>
      </c>
      <c r="C135" s="319"/>
      <c r="D135" s="324">
        <v>220651134.0100002</v>
      </c>
      <c r="E135" s="325">
        <v>2625778.0400000019</v>
      </c>
      <c r="F135" s="325">
        <v>256307.52999999968</v>
      </c>
      <c r="G135" s="315"/>
    </row>
    <row r="136" spans="1:7" x14ac:dyDescent="0.2">
      <c r="A136" s="380"/>
      <c r="B136" s="323">
        <v>49340</v>
      </c>
      <c r="C136" s="319"/>
      <c r="D136" s="324">
        <v>218025355.97000021</v>
      </c>
      <c r="E136" s="325">
        <v>2646234.1499999971</v>
      </c>
      <c r="F136" s="325">
        <v>254769.03999999986</v>
      </c>
      <c r="G136" s="315"/>
    </row>
    <row r="137" spans="1:7" x14ac:dyDescent="0.2">
      <c r="A137" s="380"/>
      <c r="B137" s="323">
        <v>49368</v>
      </c>
      <c r="C137" s="319"/>
      <c r="D137" s="324">
        <v>215379121.8200002</v>
      </c>
      <c r="E137" s="325">
        <v>2090063.9599999986</v>
      </c>
      <c r="F137" s="325">
        <v>203279.52999999991</v>
      </c>
      <c r="G137" s="315"/>
    </row>
    <row r="138" spans="1:7" x14ac:dyDescent="0.2">
      <c r="A138" s="380"/>
      <c r="B138" s="323">
        <v>49399</v>
      </c>
      <c r="C138" s="319"/>
      <c r="D138" s="324">
        <v>213289057.86000019</v>
      </c>
      <c r="E138" s="325">
        <v>3059596.9800000004</v>
      </c>
      <c r="F138" s="325">
        <v>293949.84000000049</v>
      </c>
      <c r="G138" s="315"/>
    </row>
    <row r="139" spans="1:7" x14ac:dyDescent="0.2">
      <c r="A139" s="380"/>
      <c r="B139" s="323">
        <v>49429</v>
      </c>
      <c r="C139" s="319"/>
      <c r="D139" s="324">
        <v>210229460.8800002</v>
      </c>
      <c r="E139" s="325">
        <v>2596812.8099999954</v>
      </c>
      <c r="F139" s="325">
        <v>245856.22</v>
      </c>
      <c r="G139" s="315"/>
    </row>
    <row r="140" spans="1:7" x14ac:dyDescent="0.2">
      <c r="A140" s="380"/>
      <c r="B140" s="323">
        <v>49460</v>
      </c>
      <c r="C140" s="319"/>
      <c r="D140" s="324">
        <v>207632648.0700002</v>
      </c>
      <c r="E140" s="325">
        <v>2549228.4999999986</v>
      </c>
      <c r="F140" s="325">
        <v>241674.9499999999</v>
      </c>
      <c r="G140" s="315"/>
    </row>
    <row r="141" spans="1:7" x14ac:dyDescent="0.2">
      <c r="A141" s="380"/>
      <c r="B141" s="323">
        <v>49490</v>
      </c>
      <c r="C141" s="319"/>
      <c r="D141" s="324">
        <v>205083419.5700002</v>
      </c>
      <c r="E141" s="325">
        <v>2545456.7299999995</v>
      </c>
      <c r="F141" s="325">
        <v>238578.15999999977</v>
      </c>
      <c r="G141" s="315"/>
    </row>
    <row r="142" spans="1:7" x14ac:dyDescent="0.2">
      <c r="A142" s="380"/>
      <c r="B142" s="323">
        <v>49521</v>
      </c>
      <c r="C142" s="319"/>
      <c r="D142" s="324">
        <v>202537962.84000021</v>
      </c>
      <c r="E142" s="325">
        <v>2578078.1800000062</v>
      </c>
      <c r="F142" s="325">
        <v>237936.78999999969</v>
      </c>
      <c r="G142" s="315"/>
    </row>
    <row r="143" spans="1:7" x14ac:dyDescent="0.2">
      <c r="A143" s="380"/>
      <c r="B143" s="323">
        <v>49552</v>
      </c>
      <c r="C143" s="319"/>
      <c r="D143" s="324">
        <v>199959884.66000021</v>
      </c>
      <c r="E143" s="325">
        <v>2517209.2800000054</v>
      </c>
      <c r="F143" s="325">
        <v>232942.83999999968</v>
      </c>
      <c r="G143" s="315"/>
    </row>
    <row r="144" spans="1:7" x14ac:dyDescent="0.2">
      <c r="A144" s="380"/>
      <c r="B144" s="323">
        <v>49582</v>
      </c>
      <c r="C144" s="319"/>
      <c r="D144" s="324">
        <v>197442675.3800002</v>
      </c>
      <c r="E144" s="325">
        <v>2513885.0499999993</v>
      </c>
      <c r="F144" s="325">
        <v>230157.27999999942</v>
      </c>
      <c r="G144" s="315"/>
    </row>
    <row r="145" spans="1:7" x14ac:dyDescent="0.2">
      <c r="A145" s="380"/>
      <c r="B145" s="323">
        <v>49613</v>
      </c>
      <c r="C145" s="319"/>
      <c r="D145" s="324">
        <v>194928790.33000019</v>
      </c>
      <c r="E145" s="325">
        <v>2552063.7599999993</v>
      </c>
      <c r="F145" s="325">
        <v>229482.95000000019</v>
      </c>
      <c r="G145" s="315"/>
    </row>
    <row r="146" spans="1:7" x14ac:dyDescent="0.2">
      <c r="A146" s="380"/>
      <c r="B146" s="323">
        <v>49643</v>
      </c>
      <c r="C146" s="319"/>
      <c r="D146" s="324">
        <v>192376726.5700002</v>
      </c>
      <c r="E146" s="325">
        <v>3183544.050000004</v>
      </c>
      <c r="F146" s="325">
        <v>224305.28</v>
      </c>
      <c r="G146" s="315"/>
    </row>
    <row r="147" spans="1:7" x14ac:dyDescent="0.2">
      <c r="A147" s="380"/>
      <c r="B147" s="323">
        <v>49674</v>
      </c>
      <c r="C147" s="319"/>
      <c r="D147" s="324">
        <v>189193182.52000019</v>
      </c>
      <c r="E147" s="325">
        <v>2627329.099999995</v>
      </c>
      <c r="F147" s="325">
        <v>221702.33999999976</v>
      </c>
      <c r="G147" s="315"/>
    </row>
    <row r="148" spans="1:7" x14ac:dyDescent="0.2">
      <c r="A148" s="380"/>
      <c r="B148" s="323">
        <v>49705</v>
      </c>
      <c r="C148" s="319"/>
      <c r="D148" s="324">
        <v>186565853.4200002</v>
      </c>
      <c r="E148" s="325">
        <v>2507350.7799999984</v>
      </c>
      <c r="F148" s="325">
        <v>220014.55</v>
      </c>
      <c r="G148" s="315"/>
    </row>
    <row r="149" spans="1:7" x14ac:dyDescent="0.2">
      <c r="A149" s="380"/>
      <c r="B149" s="323">
        <v>49734</v>
      </c>
      <c r="C149" s="319"/>
      <c r="D149" s="324">
        <v>184058502.64000019</v>
      </c>
      <c r="E149" s="325">
        <v>2571759.160000002</v>
      </c>
      <c r="F149" s="325">
        <v>175537.42999999967</v>
      </c>
      <c r="G149" s="315"/>
    </row>
    <row r="150" spans="1:7" x14ac:dyDescent="0.2">
      <c r="A150" s="380"/>
      <c r="B150" s="323">
        <v>49765</v>
      </c>
      <c r="C150" s="319"/>
      <c r="D150" s="324">
        <v>181486743.4800002</v>
      </c>
      <c r="E150" s="325">
        <v>3199511.7699999986</v>
      </c>
      <c r="F150" s="325">
        <v>252338.30000000016</v>
      </c>
      <c r="G150" s="315"/>
    </row>
    <row r="151" spans="1:7" x14ac:dyDescent="0.2">
      <c r="A151" s="380"/>
      <c r="B151" s="323">
        <v>49795</v>
      </c>
      <c r="C151" s="319"/>
      <c r="D151" s="324">
        <v>178287231.71000019</v>
      </c>
      <c r="E151" s="325">
        <v>2481195.5900000022</v>
      </c>
      <c r="F151" s="325">
        <v>210441.88999999966</v>
      </c>
      <c r="G151" s="315"/>
    </row>
    <row r="152" spans="1:7" x14ac:dyDescent="0.2">
      <c r="A152" s="380"/>
      <c r="B152" s="323">
        <v>49826</v>
      </c>
      <c r="C152" s="319"/>
      <c r="D152" s="324">
        <v>175806036.12000018</v>
      </c>
      <c r="E152" s="325">
        <v>2830143.5599999968</v>
      </c>
      <c r="F152" s="325">
        <v>206542.97999999986</v>
      </c>
      <c r="G152" s="315"/>
    </row>
    <row r="153" spans="1:7" x14ac:dyDescent="0.2">
      <c r="A153" s="380"/>
      <c r="B153" s="323">
        <v>49856</v>
      </c>
      <c r="C153" s="319"/>
      <c r="D153" s="324">
        <v>172975892.56000018</v>
      </c>
      <c r="E153" s="325">
        <v>2776033.0600000028</v>
      </c>
      <c r="F153" s="325">
        <v>203120.5499999999</v>
      </c>
      <c r="G153" s="315"/>
    </row>
    <row r="154" spans="1:7" x14ac:dyDescent="0.2">
      <c r="A154" s="380"/>
      <c r="B154" s="323">
        <v>49887</v>
      </c>
      <c r="C154" s="319"/>
      <c r="D154" s="324">
        <v>170199859.50000018</v>
      </c>
      <c r="E154" s="325">
        <v>2466680.5199999972</v>
      </c>
      <c r="F154" s="325">
        <v>201990.77999999971</v>
      </c>
      <c r="G154" s="315"/>
    </row>
    <row r="155" spans="1:7" x14ac:dyDescent="0.2">
      <c r="A155" s="380"/>
      <c r="B155" s="323">
        <v>49918</v>
      </c>
      <c r="C155" s="319"/>
      <c r="D155" s="324">
        <v>167733178.98000017</v>
      </c>
      <c r="E155" s="325">
        <v>2403333.0999999992</v>
      </c>
      <c r="F155" s="325">
        <v>197379.0299999995</v>
      </c>
      <c r="G155" s="315"/>
    </row>
    <row r="156" spans="1:7" x14ac:dyDescent="0.2">
      <c r="A156" s="380"/>
      <c r="B156" s="323">
        <v>49948</v>
      </c>
      <c r="C156" s="319"/>
      <c r="D156" s="324">
        <v>165329845.88000017</v>
      </c>
      <c r="E156" s="325">
        <v>2459098.4599999925</v>
      </c>
      <c r="F156" s="325">
        <v>194624.91</v>
      </c>
      <c r="G156" s="315"/>
    </row>
    <row r="157" spans="1:7" x14ac:dyDescent="0.2">
      <c r="A157" s="380"/>
      <c r="B157" s="323">
        <v>49979</v>
      </c>
      <c r="C157" s="319"/>
      <c r="D157" s="324">
        <v>162870747.4200002</v>
      </c>
      <c r="E157" s="325">
        <v>2434852.9299999988</v>
      </c>
      <c r="F157" s="325">
        <v>193734.21999999986</v>
      </c>
      <c r="G157" s="315"/>
    </row>
    <row r="158" spans="1:7" x14ac:dyDescent="0.2">
      <c r="A158" s="380"/>
      <c r="B158" s="323">
        <v>50009</v>
      </c>
      <c r="C158" s="319"/>
      <c r="D158" s="324">
        <v>160435894.49000019</v>
      </c>
      <c r="E158" s="325">
        <v>2656358.9000000036</v>
      </c>
      <c r="F158" s="325">
        <v>188965.66000000021</v>
      </c>
      <c r="G158" s="315"/>
    </row>
    <row r="159" spans="1:7" x14ac:dyDescent="0.2">
      <c r="A159" s="380"/>
      <c r="B159" s="323">
        <v>50040</v>
      </c>
      <c r="C159" s="319"/>
      <c r="D159" s="324">
        <v>157779535.59000018</v>
      </c>
      <c r="E159" s="325">
        <v>2877505.7399999984</v>
      </c>
      <c r="F159" s="325">
        <v>186500.31000000003</v>
      </c>
      <c r="G159" s="315"/>
    </row>
    <row r="160" spans="1:7" x14ac:dyDescent="0.2">
      <c r="A160" s="380"/>
      <c r="B160" s="323">
        <v>50071</v>
      </c>
      <c r="C160" s="319"/>
      <c r="D160" s="324">
        <v>154902029.85000017</v>
      </c>
      <c r="E160" s="325">
        <v>2393992.4300000034</v>
      </c>
      <c r="F160" s="325">
        <v>184388.24000000008</v>
      </c>
      <c r="G160" s="315"/>
    </row>
    <row r="161" spans="1:7" x14ac:dyDescent="0.2">
      <c r="A161" s="380"/>
      <c r="B161" s="323">
        <v>50099</v>
      </c>
      <c r="C161" s="319"/>
      <c r="D161" s="324">
        <v>152508037.42000017</v>
      </c>
      <c r="E161" s="325">
        <v>1995045.8600000003</v>
      </c>
      <c r="F161" s="325">
        <v>146979.63000000006</v>
      </c>
      <c r="G161" s="315"/>
    </row>
    <row r="162" spans="1:7" x14ac:dyDescent="0.2">
      <c r="A162" s="380"/>
      <c r="B162" s="323">
        <v>50130</v>
      </c>
      <c r="C162" s="319"/>
      <c r="D162" s="324">
        <v>150512991.56000015</v>
      </c>
      <c r="E162" s="325">
        <v>4683333.7500000158</v>
      </c>
      <c r="F162" s="325">
        <v>210856.15000000002</v>
      </c>
      <c r="G162" s="315"/>
    </row>
    <row r="163" spans="1:7" x14ac:dyDescent="0.2">
      <c r="A163" s="380"/>
      <c r="B163" s="323">
        <v>50160</v>
      </c>
      <c r="C163" s="319"/>
      <c r="D163" s="324">
        <v>145829657.81000012</v>
      </c>
      <c r="E163" s="325">
        <v>2378981.2600000012</v>
      </c>
      <c r="F163" s="325">
        <v>174059.9099999996</v>
      </c>
      <c r="G163" s="315"/>
    </row>
    <row r="164" spans="1:7" x14ac:dyDescent="0.2">
      <c r="A164" s="380"/>
      <c r="B164" s="323">
        <v>50191</v>
      </c>
      <c r="C164" s="319"/>
      <c r="D164" s="324">
        <v>143450676.55000013</v>
      </c>
      <c r="E164" s="325">
        <v>5139473.0900000008</v>
      </c>
      <c r="F164" s="325">
        <v>170418.9800000001</v>
      </c>
      <c r="G164" s="315"/>
    </row>
    <row r="165" spans="1:7" x14ac:dyDescent="0.2">
      <c r="A165" s="380"/>
      <c r="B165" s="323">
        <v>50221</v>
      </c>
      <c r="C165" s="319"/>
      <c r="D165" s="324">
        <v>138311203.46000013</v>
      </c>
      <c r="E165" s="325">
        <v>2749313.9</v>
      </c>
      <c r="F165" s="325">
        <v>165206.46999999988</v>
      </c>
      <c r="G165" s="315"/>
    </row>
    <row r="166" spans="1:7" x14ac:dyDescent="0.2">
      <c r="A166" s="380"/>
      <c r="B166" s="323">
        <v>50252</v>
      </c>
      <c r="C166" s="319"/>
      <c r="D166" s="324">
        <v>135561889.56000012</v>
      </c>
      <c r="E166" s="325">
        <v>2546432.12</v>
      </c>
      <c r="F166" s="325">
        <v>163896.96000000022</v>
      </c>
      <c r="G166" s="315"/>
    </row>
    <row r="167" spans="1:7" x14ac:dyDescent="0.2">
      <c r="A167" s="380"/>
      <c r="B167" s="323">
        <v>50283</v>
      </c>
      <c r="C167" s="319"/>
      <c r="D167" s="324">
        <v>133015457.44000012</v>
      </c>
      <c r="E167" s="325">
        <v>3157729.760000003</v>
      </c>
      <c r="F167" s="325">
        <v>159486.11000000013</v>
      </c>
      <c r="G167" s="315"/>
    </row>
    <row r="168" spans="1:7" x14ac:dyDescent="0.2">
      <c r="A168" s="380"/>
      <c r="B168" s="323">
        <v>50313</v>
      </c>
      <c r="C168" s="319"/>
      <c r="D168" s="324">
        <v>129857727.68000011</v>
      </c>
      <c r="E168" s="325">
        <v>2875675.6000000034</v>
      </c>
      <c r="F168" s="325">
        <v>156255.5100000001</v>
      </c>
      <c r="G168" s="315"/>
    </row>
    <row r="169" spans="1:7" x14ac:dyDescent="0.2">
      <c r="A169" s="380"/>
      <c r="B169" s="323">
        <v>50344</v>
      </c>
      <c r="C169" s="319"/>
      <c r="D169" s="324">
        <v>126982052.0800001</v>
      </c>
      <c r="E169" s="325">
        <v>2589485.3900000048</v>
      </c>
      <c r="F169" s="325">
        <v>154394.54000000012</v>
      </c>
      <c r="G169" s="315"/>
    </row>
    <row r="170" spans="1:7" x14ac:dyDescent="0.2">
      <c r="A170" s="380"/>
      <c r="B170" s="323">
        <v>50374</v>
      </c>
      <c r="C170" s="319"/>
      <c r="D170" s="324">
        <v>124392566.6900001</v>
      </c>
      <c r="E170" s="325">
        <v>2555506.0300000003</v>
      </c>
      <c r="F170" s="325">
        <v>149516.56999999989</v>
      </c>
      <c r="G170" s="315"/>
    </row>
    <row r="171" spans="1:7" x14ac:dyDescent="0.2">
      <c r="A171" s="380"/>
      <c r="B171" s="323">
        <v>50405</v>
      </c>
      <c r="C171" s="319"/>
      <c r="D171" s="324">
        <v>121837060.6600001</v>
      </c>
      <c r="E171" s="325">
        <v>2408550.620000001</v>
      </c>
      <c r="F171" s="325">
        <v>146858.43000000014</v>
      </c>
      <c r="G171" s="315"/>
    </row>
    <row r="172" spans="1:7" x14ac:dyDescent="0.2">
      <c r="A172" s="380"/>
      <c r="B172" s="323">
        <v>50436</v>
      </c>
      <c r="C172" s="319"/>
      <c r="D172" s="324">
        <v>119428510.0400001</v>
      </c>
      <c r="E172" s="325">
        <v>2159178.060000001</v>
      </c>
      <c r="F172" s="325">
        <v>144862.1800000002</v>
      </c>
      <c r="G172" s="315"/>
    </row>
    <row r="173" spans="1:7" x14ac:dyDescent="0.2">
      <c r="A173" s="380"/>
      <c r="B173" s="323">
        <v>50464</v>
      </c>
      <c r="C173" s="319"/>
      <c r="D173" s="324">
        <v>117269331.98000009</v>
      </c>
      <c r="E173" s="325">
        <v>1691255.6899999997</v>
      </c>
      <c r="F173" s="325">
        <v>114741.61000000009</v>
      </c>
      <c r="G173" s="315"/>
    </row>
    <row r="174" spans="1:7" x14ac:dyDescent="0.2">
      <c r="A174" s="380"/>
      <c r="B174" s="323">
        <v>50495</v>
      </c>
      <c r="C174" s="319"/>
      <c r="D174" s="324">
        <v>115578076.2900001</v>
      </c>
      <c r="E174" s="325">
        <v>4250683.6100000087</v>
      </c>
      <c r="F174" s="325">
        <v>165203.07000000021</v>
      </c>
      <c r="G174" s="315"/>
    </row>
    <row r="175" spans="1:7" x14ac:dyDescent="0.2">
      <c r="A175" s="380"/>
      <c r="B175" s="323">
        <v>50525</v>
      </c>
      <c r="C175" s="319"/>
      <c r="D175" s="324">
        <v>111327392.68000008</v>
      </c>
      <c r="E175" s="325">
        <v>2093494.9699999983</v>
      </c>
      <c r="F175" s="325">
        <v>133744.34999999992</v>
      </c>
      <c r="G175" s="315"/>
    </row>
    <row r="176" spans="1:7" x14ac:dyDescent="0.2">
      <c r="A176" s="380"/>
      <c r="B176" s="323">
        <v>50556</v>
      </c>
      <c r="C176" s="319"/>
      <c r="D176" s="324">
        <v>109233897.71000008</v>
      </c>
      <c r="E176" s="325">
        <v>2066555.8399999999</v>
      </c>
      <c r="F176" s="325">
        <v>130571.1200000002</v>
      </c>
      <c r="G176" s="315"/>
    </row>
    <row r="177" spans="1:7" x14ac:dyDescent="0.2">
      <c r="A177" s="380"/>
      <c r="B177" s="323">
        <v>50586</v>
      </c>
      <c r="C177" s="319"/>
      <c r="D177" s="324">
        <v>107167341.87000008</v>
      </c>
      <c r="E177" s="325">
        <v>2436889.7600000026</v>
      </c>
      <c r="F177" s="325">
        <v>127810.50999999994</v>
      </c>
      <c r="G177" s="315"/>
    </row>
    <row r="178" spans="1:7" x14ac:dyDescent="0.2">
      <c r="A178" s="380"/>
      <c r="B178" s="323">
        <v>50617</v>
      </c>
      <c r="C178" s="319"/>
      <c r="D178" s="324">
        <v>104730452.11000007</v>
      </c>
      <c r="E178" s="325">
        <v>2047423.4699999983</v>
      </c>
      <c r="F178" s="325">
        <v>126189.44999999998</v>
      </c>
      <c r="G178" s="315"/>
    </row>
    <row r="179" spans="1:7" x14ac:dyDescent="0.2">
      <c r="A179" s="380"/>
      <c r="B179" s="323">
        <v>50648</v>
      </c>
      <c r="C179" s="319"/>
      <c r="D179" s="324">
        <v>102683028.64000008</v>
      </c>
      <c r="E179" s="325">
        <v>2083609.3900000008</v>
      </c>
      <c r="F179" s="325">
        <v>122582.06999999995</v>
      </c>
      <c r="G179" s="315"/>
    </row>
    <row r="180" spans="1:7" x14ac:dyDescent="0.2">
      <c r="A180" s="380"/>
      <c r="B180" s="323">
        <v>50678</v>
      </c>
      <c r="C180" s="319"/>
      <c r="D180" s="324">
        <v>100599419.25000007</v>
      </c>
      <c r="E180" s="325">
        <v>1945614.8399999994</v>
      </c>
      <c r="F180" s="325">
        <v>120051.03000000014</v>
      </c>
      <c r="G180" s="315"/>
    </row>
    <row r="181" spans="1:7" x14ac:dyDescent="0.2">
      <c r="A181" s="380"/>
      <c r="B181" s="323">
        <v>50709</v>
      </c>
      <c r="C181" s="319"/>
      <c r="D181" s="324">
        <v>98653804.410000071</v>
      </c>
      <c r="E181" s="325">
        <v>2071716.37</v>
      </c>
      <c r="F181" s="325">
        <v>119258.48999999983</v>
      </c>
      <c r="G181" s="315"/>
    </row>
    <row r="182" spans="1:7" x14ac:dyDescent="0.2">
      <c r="A182" s="380"/>
      <c r="B182" s="323">
        <v>50739</v>
      </c>
      <c r="C182" s="319"/>
      <c r="D182" s="324">
        <v>96582088.040000066</v>
      </c>
      <c r="E182" s="325">
        <v>1898037.120000001</v>
      </c>
      <c r="F182" s="325">
        <v>115357.52000000005</v>
      </c>
      <c r="G182" s="315"/>
    </row>
    <row r="183" spans="1:7" x14ac:dyDescent="0.2">
      <c r="A183" s="380"/>
      <c r="B183" s="323">
        <v>50770</v>
      </c>
      <c r="C183" s="319"/>
      <c r="D183" s="324">
        <v>94684050.920000061</v>
      </c>
      <c r="E183" s="325">
        <v>1895846.4099999997</v>
      </c>
      <c r="F183" s="325">
        <v>113566.57999999997</v>
      </c>
      <c r="G183" s="315"/>
    </row>
    <row r="184" spans="1:7" x14ac:dyDescent="0.2">
      <c r="A184" s="380"/>
      <c r="B184" s="323">
        <v>50801</v>
      </c>
      <c r="C184" s="319"/>
      <c r="D184" s="324">
        <v>92788204.510000065</v>
      </c>
      <c r="E184" s="325">
        <v>1921607.6999999993</v>
      </c>
      <c r="F184" s="325">
        <v>112253.28000000028</v>
      </c>
      <c r="G184" s="315"/>
    </row>
    <row r="185" spans="1:7" x14ac:dyDescent="0.2">
      <c r="A185" s="380"/>
      <c r="B185" s="323">
        <v>50829</v>
      </c>
      <c r="C185" s="319"/>
      <c r="D185" s="324">
        <v>90866596.810000062</v>
      </c>
      <c r="E185" s="325">
        <v>1511795.2000000009</v>
      </c>
      <c r="F185" s="325">
        <v>88915.310000000158</v>
      </c>
      <c r="G185" s="315"/>
    </row>
    <row r="186" spans="1:7" x14ac:dyDescent="0.2">
      <c r="A186" s="380"/>
      <c r="B186" s="323">
        <v>50860</v>
      </c>
      <c r="C186" s="319"/>
      <c r="D186" s="324">
        <v>89354801.610000059</v>
      </c>
      <c r="E186" s="325">
        <v>2225972.5399999996</v>
      </c>
      <c r="F186" s="325">
        <v>127276.44999999995</v>
      </c>
      <c r="G186" s="315"/>
    </row>
    <row r="187" spans="1:7" x14ac:dyDescent="0.2">
      <c r="A187" s="380"/>
      <c r="B187" s="323">
        <v>50890</v>
      </c>
      <c r="C187" s="319"/>
      <c r="D187" s="324">
        <v>87128829.070000052</v>
      </c>
      <c r="E187" s="325">
        <v>1900972.6199999971</v>
      </c>
      <c r="F187" s="325">
        <v>105698.89000000004</v>
      </c>
      <c r="G187" s="315"/>
    </row>
    <row r="188" spans="1:7" x14ac:dyDescent="0.2">
      <c r="A188" s="380"/>
      <c r="B188" s="323">
        <v>50921</v>
      </c>
      <c r="C188" s="319"/>
      <c r="D188" s="324">
        <v>85227856.450000063</v>
      </c>
      <c r="E188" s="325">
        <v>1853586.6600000013</v>
      </c>
      <c r="F188" s="325">
        <v>103004.78999999991</v>
      </c>
      <c r="G188" s="315"/>
    </row>
    <row r="189" spans="1:7" x14ac:dyDescent="0.2">
      <c r="A189" s="380"/>
      <c r="B189" s="323">
        <v>50951</v>
      </c>
      <c r="C189" s="319"/>
      <c r="D189" s="324">
        <v>83374269.790000066</v>
      </c>
      <c r="E189" s="325">
        <v>1807517.7900000012</v>
      </c>
      <c r="F189" s="325">
        <v>100594.49000000012</v>
      </c>
      <c r="G189" s="315"/>
    </row>
    <row r="190" spans="1:7" x14ac:dyDescent="0.2">
      <c r="A190" s="380"/>
      <c r="B190" s="323">
        <v>50982</v>
      </c>
      <c r="C190" s="319"/>
      <c r="D190" s="324">
        <v>81566752.00000006</v>
      </c>
      <c r="E190" s="325">
        <v>1847569.9099999976</v>
      </c>
      <c r="F190" s="325">
        <v>99713.07</v>
      </c>
      <c r="G190" s="315"/>
    </row>
    <row r="191" spans="1:7" x14ac:dyDescent="0.2">
      <c r="A191" s="380"/>
      <c r="B191" s="323">
        <v>51013</v>
      </c>
      <c r="C191" s="319"/>
      <c r="D191" s="324">
        <v>79719182.090000063</v>
      </c>
      <c r="E191" s="325">
        <v>1786258.7199999986</v>
      </c>
      <c r="F191" s="325">
        <v>96654.130000000165</v>
      </c>
      <c r="G191" s="315"/>
    </row>
    <row r="192" spans="1:7" x14ac:dyDescent="0.2">
      <c r="A192" s="380"/>
      <c r="B192" s="323">
        <v>51043</v>
      </c>
      <c r="C192" s="319"/>
      <c r="D192" s="324">
        <v>77932923.370000064</v>
      </c>
      <c r="E192" s="325">
        <v>1777411.98</v>
      </c>
      <c r="F192" s="325">
        <v>94470.700000000114</v>
      </c>
      <c r="G192" s="315"/>
    </row>
    <row r="193" spans="1:7" x14ac:dyDescent="0.2">
      <c r="A193" s="380"/>
      <c r="B193" s="323">
        <v>51074</v>
      </c>
      <c r="C193" s="319"/>
      <c r="D193" s="324">
        <v>76155511.39000006</v>
      </c>
      <c r="E193" s="325">
        <v>1814493.6500000004</v>
      </c>
      <c r="F193" s="325">
        <v>93530.879999999961</v>
      </c>
      <c r="G193" s="315"/>
    </row>
    <row r="194" spans="1:7" x14ac:dyDescent="0.2">
      <c r="A194" s="380"/>
      <c r="B194" s="323">
        <v>51104</v>
      </c>
      <c r="C194" s="319"/>
      <c r="D194" s="324">
        <v>74341017.740000054</v>
      </c>
      <c r="E194" s="325">
        <v>1752045.7699999965</v>
      </c>
      <c r="F194" s="325">
        <v>90428.409999999974</v>
      </c>
      <c r="G194" s="315"/>
    </row>
    <row r="195" spans="1:7" x14ac:dyDescent="0.2">
      <c r="A195" s="380"/>
      <c r="B195" s="323">
        <v>51135</v>
      </c>
      <c r="C195" s="319"/>
      <c r="D195" s="324">
        <v>72588971.970000058</v>
      </c>
      <c r="E195" s="325">
        <v>1757214.2799999989</v>
      </c>
      <c r="F195" s="325">
        <v>88703.120000000024</v>
      </c>
      <c r="G195" s="315"/>
    </row>
    <row r="196" spans="1:7" x14ac:dyDescent="0.2">
      <c r="A196" s="380"/>
      <c r="B196" s="323">
        <v>51166</v>
      </c>
      <c r="C196" s="319"/>
      <c r="D196" s="324">
        <v>70831757.690000057</v>
      </c>
      <c r="E196" s="325">
        <v>1766393.2699999984</v>
      </c>
      <c r="F196" s="325">
        <v>87275.829999999987</v>
      </c>
      <c r="G196" s="315"/>
    </row>
    <row r="197" spans="1:7" x14ac:dyDescent="0.2">
      <c r="A197" s="380"/>
      <c r="B197" s="323">
        <v>51195</v>
      </c>
      <c r="C197" s="319"/>
      <c r="D197" s="324">
        <v>69065364.420000061</v>
      </c>
      <c r="E197" s="325">
        <v>1398783.9899999991</v>
      </c>
      <c r="F197" s="325">
        <v>68845.560000000012</v>
      </c>
      <c r="G197" s="315"/>
    </row>
    <row r="198" spans="1:7" x14ac:dyDescent="0.2">
      <c r="A198" s="380"/>
      <c r="B198" s="323">
        <v>51226</v>
      </c>
      <c r="C198" s="319"/>
      <c r="D198" s="324">
        <v>67666580.430000067</v>
      </c>
      <c r="E198" s="325">
        <v>1984918.8400000029</v>
      </c>
      <c r="F198" s="325">
        <v>98297.159999999902</v>
      </c>
      <c r="G198" s="315"/>
    </row>
    <row r="199" spans="1:7" x14ac:dyDescent="0.2">
      <c r="A199" s="380"/>
      <c r="B199" s="323">
        <v>51256</v>
      </c>
      <c r="C199" s="319"/>
      <c r="D199" s="324">
        <v>65681661.590000063</v>
      </c>
      <c r="E199" s="325">
        <v>1712441.4999999977</v>
      </c>
      <c r="F199" s="325">
        <v>81157.630000000063</v>
      </c>
      <c r="G199" s="315"/>
    </row>
    <row r="200" spans="1:7" x14ac:dyDescent="0.2">
      <c r="A200" s="380"/>
      <c r="B200" s="323">
        <v>51287</v>
      </c>
      <c r="C200" s="319"/>
      <c r="D200" s="324">
        <v>63969220.090000063</v>
      </c>
      <c r="E200" s="325">
        <v>1670579.6000000015</v>
      </c>
      <c r="F200" s="325">
        <v>78802.850000000049</v>
      </c>
      <c r="G200" s="315"/>
    </row>
    <row r="201" spans="1:7" x14ac:dyDescent="0.2">
      <c r="A201" s="380"/>
      <c r="B201" s="323">
        <v>51317</v>
      </c>
      <c r="C201" s="319"/>
      <c r="D201" s="324">
        <v>62298640.490000062</v>
      </c>
      <c r="E201" s="325">
        <v>1638730.2799999996</v>
      </c>
      <c r="F201" s="325">
        <v>76602.18000000008</v>
      </c>
      <c r="G201" s="315"/>
    </row>
    <row r="202" spans="1:7" x14ac:dyDescent="0.2">
      <c r="A202" s="380"/>
      <c r="B202" s="323">
        <v>51348</v>
      </c>
      <c r="C202" s="319"/>
      <c r="D202" s="324">
        <v>60659910.21000006</v>
      </c>
      <c r="E202" s="325">
        <v>1685454.5900000019</v>
      </c>
      <c r="F202" s="325">
        <v>75511.59000000004</v>
      </c>
      <c r="G202" s="315"/>
    </row>
    <row r="203" spans="1:7" x14ac:dyDescent="0.2">
      <c r="A203" s="380"/>
      <c r="B203" s="323">
        <v>51379</v>
      </c>
      <c r="C203" s="319"/>
      <c r="D203" s="324">
        <v>58974455.620000057</v>
      </c>
      <c r="E203" s="325">
        <v>1615995.8700000015</v>
      </c>
      <c r="F203" s="325">
        <v>72865.190000000031</v>
      </c>
      <c r="G203" s="315"/>
    </row>
    <row r="204" spans="1:7" x14ac:dyDescent="0.2">
      <c r="A204" s="380"/>
      <c r="B204" s="323">
        <v>51409</v>
      </c>
      <c r="C204" s="319"/>
      <c r="D204" s="324">
        <v>57358459.750000052</v>
      </c>
      <c r="E204" s="325">
        <v>1580563.8300000017</v>
      </c>
      <c r="F204" s="325">
        <v>70840.409999999902</v>
      </c>
      <c r="G204" s="315"/>
    </row>
    <row r="205" spans="1:7" x14ac:dyDescent="0.2">
      <c r="A205" s="380"/>
      <c r="B205" s="323">
        <v>51440</v>
      </c>
      <c r="C205" s="319"/>
      <c r="D205" s="324">
        <v>55777895.920000054</v>
      </c>
      <c r="E205" s="325">
        <v>1605049.8699999999</v>
      </c>
      <c r="F205" s="325">
        <v>69712.199999999983</v>
      </c>
      <c r="G205" s="315"/>
    </row>
    <row r="206" spans="1:7" x14ac:dyDescent="0.2">
      <c r="A206" s="380"/>
      <c r="B206" s="323">
        <v>51470</v>
      </c>
      <c r="C206" s="319"/>
      <c r="D206" s="324">
        <v>54172846.050000057</v>
      </c>
      <c r="E206" s="325">
        <v>1520094.7699999993</v>
      </c>
      <c r="F206" s="325">
        <v>67096.65999999996</v>
      </c>
      <c r="G206" s="315"/>
    </row>
    <row r="207" spans="1:7" x14ac:dyDescent="0.2">
      <c r="A207" s="380"/>
      <c r="B207" s="323">
        <v>51501</v>
      </c>
      <c r="C207" s="319"/>
      <c r="D207" s="324">
        <v>52652751.280000061</v>
      </c>
      <c r="E207" s="325">
        <v>1498656.8600000006</v>
      </c>
      <c r="F207" s="325">
        <v>65476.639999999985</v>
      </c>
      <c r="G207" s="315"/>
    </row>
    <row r="208" spans="1:7" x14ac:dyDescent="0.2">
      <c r="A208" s="380"/>
      <c r="B208" s="323">
        <v>51532</v>
      </c>
      <c r="C208" s="319"/>
      <c r="D208" s="324">
        <v>51154094.420000061</v>
      </c>
      <c r="E208" s="325">
        <v>1521573.0300000007</v>
      </c>
      <c r="F208" s="325">
        <v>64020.449999999961</v>
      </c>
      <c r="G208" s="315"/>
    </row>
    <row r="209" spans="1:7" x14ac:dyDescent="0.2">
      <c r="A209" s="380"/>
      <c r="B209" s="323">
        <v>51560</v>
      </c>
      <c r="C209" s="319"/>
      <c r="D209" s="324">
        <v>49632521.39000006</v>
      </c>
      <c r="E209" s="325">
        <v>1182342.8699999992</v>
      </c>
      <c r="F209" s="325">
        <v>50189.820000000022</v>
      </c>
      <c r="G209" s="315"/>
    </row>
    <row r="210" spans="1:7" x14ac:dyDescent="0.2">
      <c r="A210" s="380"/>
      <c r="B210" s="323">
        <v>51591</v>
      </c>
      <c r="C210" s="319"/>
      <c r="D210" s="324">
        <v>48450178.520000063</v>
      </c>
      <c r="E210" s="325">
        <v>1713375.2700000005</v>
      </c>
      <c r="F210" s="325">
        <v>71555.689999999988</v>
      </c>
      <c r="G210" s="315"/>
    </row>
    <row r="211" spans="1:7" x14ac:dyDescent="0.2">
      <c r="A211" s="380"/>
      <c r="B211" s="323">
        <v>51621</v>
      </c>
      <c r="C211" s="319"/>
      <c r="D211" s="324">
        <v>46736803.25000006</v>
      </c>
      <c r="E211" s="325">
        <v>1460386.7600000019</v>
      </c>
      <c r="F211" s="325">
        <v>58521.91000000004</v>
      </c>
      <c r="G211" s="315"/>
    </row>
    <row r="212" spans="1:7" x14ac:dyDescent="0.2">
      <c r="A212" s="380"/>
      <c r="B212" s="323">
        <v>51652</v>
      </c>
      <c r="C212" s="319"/>
      <c r="D212" s="324">
        <v>45276416.490000054</v>
      </c>
      <c r="E212" s="325">
        <v>1389515.5400000007</v>
      </c>
      <c r="F212" s="325">
        <v>56562.140000000072</v>
      </c>
      <c r="G212" s="315"/>
    </row>
    <row r="213" spans="1:7" x14ac:dyDescent="0.2">
      <c r="A213" s="380"/>
      <c r="B213" s="323">
        <v>51682</v>
      </c>
      <c r="C213" s="319"/>
      <c r="D213" s="324">
        <v>43886900.950000055</v>
      </c>
      <c r="E213" s="325">
        <v>1374755.5400000005</v>
      </c>
      <c r="F213" s="325">
        <v>54658.04000000003</v>
      </c>
      <c r="G213" s="315"/>
    </row>
    <row r="214" spans="1:7" x14ac:dyDescent="0.2">
      <c r="A214" s="380"/>
      <c r="B214" s="323">
        <v>51713</v>
      </c>
      <c r="C214" s="319"/>
      <c r="D214" s="324">
        <v>42512145.410000056</v>
      </c>
      <c r="E214" s="325">
        <v>1401094.3899999994</v>
      </c>
      <c r="F214" s="325">
        <v>53446.560000000012</v>
      </c>
      <c r="G214" s="315"/>
    </row>
    <row r="215" spans="1:7" x14ac:dyDescent="0.2">
      <c r="A215" s="380"/>
      <c r="B215" s="323">
        <v>51744</v>
      </c>
      <c r="C215" s="319"/>
      <c r="D215" s="324">
        <v>41111051.020000055</v>
      </c>
      <c r="E215" s="325">
        <v>1317594.9500000002</v>
      </c>
      <c r="F215" s="325">
        <v>51328.009999999966</v>
      </c>
      <c r="G215" s="315"/>
    </row>
    <row r="216" spans="1:7" x14ac:dyDescent="0.2">
      <c r="A216" s="380"/>
      <c r="B216" s="323">
        <v>51774</v>
      </c>
      <c r="C216" s="319"/>
      <c r="D216" s="324">
        <v>39793456.070000052</v>
      </c>
      <c r="E216" s="325">
        <v>1303419.0499999998</v>
      </c>
      <c r="F216" s="325">
        <v>49568.490000000034</v>
      </c>
      <c r="G216" s="315"/>
    </row>
    <row r="217" spans="1:7" x14ac:dyDescent="0.2">
      <c r="A217" s="380"/>
      <c r="B217" s="323">
        <v>51805</v>
      </c>
      <c r="C217" s="319"/>
      <c r="D217" s="324">
        <v>38490037.020000055</v>
      </c>
      <c r="E217" s="325">
        <v>1322955.7200000007</v>
      </c>
      <c r="F217" s="325">
        <v>48328.670000000006</v>
      </c>
      <c r="G217" s="315"/>
    </row>
    <row r="218" spans="1:7" x14ac:dyDescent="0.2">
      <c r="A218" s="380"/>
      <c r="B218" s="323">
        <v>51835</v>
      </c>
      <c r="C218" s="319"/>
      <c r="D218" s="324">
        <v>37167081.300000057</v>
      </c>
      <c r="E218" s="325">
        <v>1263109.7799999996</v>
      </c>
      <c r="F218" s="325">
        <v>46257.140000000014</v>
      </c>
      <c r="G218" s="315"/>
    </row>
    <row r="219" spans="1:7" x14ac:dyDescent="0.2">
      <c r="A219" s="380"/>
      <c r="B219" s="323">
        <v>51866</v>
      </c>
      <c r="C219" s="319"/>
      <c r="D219" s="324">
        <v>35903971.520000055</v>
      </c>
      <c r="E219" s="325">
        <v>1238187.0500000003</v>
      </c>
      <c r="F219" s="325">
        <v>44774.040000000052</v>
      </c>
      <c r="G219" s="315"/>
    </row>
    <row r="220" spans="1:7" x14ac:dyDescent="0.2">
      <c r="A220" s="380"/>
      <c r="B220" s="323">
        <v>51897</v>
      </c>
      <c r="C220" s="319"/>
      <c r="D220" s="324">
        <v>34665784.470000058</v>
      </c>
      <c r="E220" s="325">
        <v>1258156.780000001</v>
      </c>
      <c r="F220" s="325">
        <v>43275.209999999992</v>
      </c>
      <c r="G220" s="315"/>
    </row>
    <row r="221" spans="1:7" x14ac:dyDescent="0.2">
      <c r="A221" s="380"/>
      <c r="B221" s="323">
        <v>51925</v>
      </c>
      <c r="C221" s="319"/>
      <c r="D221" s="324">
        <v>33407627.690000057</v>
      </c>
      <c r="E221" s="325">
        <v>969437</v>
      </c>
      <c r="F221" s="325">
        <v>33613.070000000014</v>
      </c>
      <c r="G221" s="315"/>
    </row>
    <row r="222" spans="1:7" x14ac:dyDescent="0.2">
      <c r="A222" s="380"/>
      <c r="B222" s="323">
        <v>51956</v>
      </c>
      <c r="C222" s="319"/>
      <c r="D222" s="324">
        <v>32438190.690000057</v>
      </c>
      <c r="E222" s="325">
        <v>1421076.4499999981</v>
      </c>
      <c r="F222" s="325">
        <v>47734.029999999984</v>
      </c>
      <c r="G222" s="315"/>
    </row>
    <row r="223" spans="1:7" x14ac:dyDescent="0.2">
      <c r="A223" s="380"/>
      <c r="B223" s="323">
        <v>51986</v>
      </c>
      <c r="C223" s="319"/>
      <c r="D223" s="324">
        <v>31017114.240000058</v>
      </c>
      <c r="E223" s="325">
        <v>1220569.9500000002</v>
      </c>
      <c r="F223" s="325">
        <v>38347.829999999973</v>
      </c>
      <c r="G223" s="315"/>
    </row>
    <row r="224" spans="1:7" x14ac:dyDescent="0.2">
      <c r="A224" s="380"/>
      <c r="B224" s="323">
        <v>52017</v>
      </c>
      <c r="C224" s="319"/>
      <c r="D224" s="324">
        <v>29796544.290000059</v>
      </c>
      <c r="E224" s="325">
        <v>1162430.3900000001</v>
      </c>
      <c r="F224" s="325">
        <v>36774.46</v>
      </c>
      <c r="G224" s="315"/>
    </row>
    <row r="225" spans="1:7" x14ac:dyDescent="0.2">
      <c r="A225" s="380"/>
      <c r="B225" s="323">
        <v>52047</v>
      </c>
      <c r="C225" s="319"/>
      <c r="D225" s="324">
        <v>28634113.900000058</v>
      </c>
      <c r="E225" s="325">
        <v>1126214.949999999</v>
      </c>
      <c r="F225" s="325">
        <v>35065.299999999967</v>
      </c>
      <c r="G225" s="315"/>
    </row>
    <row r="226" spans="1:7" x14ac:dyDescent="0.2">
      <c r="A226" s="380"/>
      <c r="B226" s="323">
        <v>52078</v>
      </c>
      <c r="C226" s="319"/>
      <c r="D226" s="324">
        <v>27507898.950000059</v>
      </c>
      <c r="E226" s="325">
        <v>1137080.3800000001</v>
      </c>
      <c r="F226" s="325">
        <v>33713.430000000022</v>
      </c>
      <c r="G226" s="315"/>
    </row>
    <row r="227" spans="1:7" x14ac:dyDescent="0.2">
      <c r="A227" s="380"/>
      <c r="B227" s="323">
        <v>52109</v>
      </c>
      <c r="C227" s="319"/>
      <c r="D227" s="324">
        <v>26370818.57000006</v>
      </c>
      <c r="E227" s="325">
        <v>1029125.5399999997</v>
      </c>
      <c r="F227" s="325">
        <v>32059.71999999999</v>
      </c>
      <c r="G227" s="315"/>
    </row>
    <row r="228" spans="1:7" x14ac:dyDescent="0.2">
      <c r="A228" s="380"/>
      <c r="B228" s="323">
        <v>52139</v>
      </c>
      <c r="C228" s="319"/>
      <c r="D228" s="324">
        <v>25341693.030000061</v>
      </c>
      <c r="E228" s="325">
        <v>1004882.7099999993</v>
      </c>
      <c r="F228" s="325">
        <v>30526.850000000024</v>
      </c>
      <c r="G228" s="315"/>
    </row>
    <row r="229" spans="1:7" x14ac:dyDescent="0.2">
      <c r="A229" s="380"/>
      <c r="B229" s="323">
        <v>52170</v>
      </c>
      <c r="C229" s="319"/>
      <c r="D229" s="324">
        <v>24336810.32000006</v>
      </c>
      <c r="E229" s="325">
        <v>945147.71999999986</v>
      </c>
      <c r="F229" s="325">
        <v>29200.769999999968</v>
      </c>
      <c r="G229" s="315"/>
    </row>
    <row r="230" spans="1:7" x14ac:dyDescent="0.2">
      <c r="A230" s="380"/>
      <c r="B230" s="323">
        <v>52200</v>
      </c>
      <c r="C230" s="319"/>
      <c r="D230" s="324">
        <v>23391662.600000061</v>
      </c>
      <c r="E230" s="325">
        <v>894793.70999999985</v>
      </c>
      <c r="F230" s="325">
        <v>27702.309999999979</v>
      </c>
      <c r="G230" s="315"/>
    </row>
    <row r="231" spans="1:7" x14ac:dyDescent="0.2">
      <c r="A231" s="380"/>
      <c r="B231" s="323">
        <v>52231</v>
      </c>
      <c r="C231" s="319"/>
      <c r="D231" s="324">
        <v>22496868.89000006</v>
      </c>
      <c r="E231" s="325">
        <v>853240.09000000067</v>
      </c>
      <c r="F231" s="325">
        <v>26488.580000000013</v>
      </c>
      <c r="G231" s="315"/>
    </row>
    <row r="232" spans="1:7" x14ac:dyDescent="0.2">
      <c r="A232" s="380"/>
      <c r="B232" s="323">
        <v>52262</v>
      </c>
      <c r="C232" s="319"/>
      <c r="D232" s="324">
        <v>21643628.80000006</v>
      </c>
      <c r="E232" s="325">
        <v>818490.72999999952</v>
      </c>
      <c r="F232" s="325">
        <v>25161.240000000009</v>
      </c>
      <c r="G232" s="315"/>
    </row>
    <row r="233" spans="1:7" x14ac:dyDescent="0.2">
      <c r="A233" s="380"/>
      <c r="B233" s="323">
        <v>52290</v>
      </c>
      <c r="C233" s="319"/>
      <c r="D233" s="324">
        <v>20825138.07000006</v>
      </c>
      <c r="E233" s="325">
        <v>659198.16999999993</v>
      </c>
      <c r="F233" s="325">
        <v>19241.26999999999</v>
      </c>
      <c r="G233" s="315"/>
    </row>
    <row r="234" spans="1:7" x14ac:dyDescent="0.2">
      <c r="A234" s="380"/>
      <c r="B234" s="323">
        <v>52321</v>
      </c>
      <c r="C234" s="319"/>
      <c r="D234" s="324">
        <v>20165939.900000058</v>
      </c>
      <c r="E234" s="325">
        <v>891455.74999999965</v>
      </c>
      <c r="F234" s="325">
        <v>27454.390000000014</v>
      </c>
      <c r="G234" s="315"/>
    </row>
    <row r="235" spans="1:7" x14ac:dyDescent="0.2">
      <c r="A235" s="380"/>
      <c r="B235" s="323">
        <v>52351</v>
      </c>
      <c r="C235" s="319"/>
      <c r="D235" s="324">
        <v>19274484.150000058</v>
      </c>
      <c r="E235" s="325">
        <v>725116.74999999953</v>
      </c>
      <c r="F235" s="325">
        <v>21585.560000000023</v>
      </c>
      <c r="G235" s="315"/>
    </row>
    <row r="236" spans="1:7" x14ac:dyDescent="0.2">
      <c r="A236" s="380"/>
      <c r="B236" s="323">
        <v>52382</v>
      </c>
      <c r="C236" s="319"/>
      <c r="D236" s="324">
        <v>18549367.400000058</v>
      </c>
      <c r="E236" s="325">
        <v>696025.06000000017</v>
      </c>
      <c r="F236" s="325">
        <v>20618.530000000013</v>
      </c>
      <c r="G236" s="315"/>
    </row>
    <row r="237" spans="1:7" x14ac:dyDescent="0.2">
      <c r="A237" s="380"/>
      <c r="B237" s="323">
        <v>52412</v>
      </c>
      <c r="C237" s="319"/>
      <c r="D237" s="324">
        <v>17853342.340000059</v>
      </c>
      <c r="E237" s="325">
        <v>674889.44000000006</v>
      </c>
      <c r="F237" s="325">
        <v>19517.640000000021</v>
      </c>
      <c r="G237" s="315"/>
    </row>
    <row r="238" spans="1:7" x14ac:dyDescent="0.2">
      <c r="A238" s="380">
        <v>225</v>
      </c>
      <c r="B238" s="323">
        <v>52443</v>
      </c>
      <c r="C238" s="319"/>
      <c r="D238" s="324">
        <v>17178452.900000058</v>
      </c>
      <c r="E238" s="325">
        <v>626384.35000000021</v>
      </c>
      <c r="F238" s="325">
        <v>18639.729999999989</v>
      </c>
      <c r="G238" s="315"/>
    </row>
    <row r="239" spans="1:7" x14ac:dyDescent="0.2">
      <c r="A239" s="380">
        <v>226</v>
      </c>
      <c r="B239" s="323">
        <v>52474</v>
      </c>
      <c r="C239" s="319"/>
      <c r="D239" s="324">
        <v>16552068.550000058</v>
      </c>
      <c r="E239" s="325">
        <v>563091.12</v>
      </c>
      <c r="F239" s="325">
        <v>17755.150000000001</v>
      </c>
      <c r="G239" s="315"/>
    </row>
    <row r="240" spans="1:7" x14ac:dyDescent="0.2">
      <c r="B240" s="323">
        <v>52504</v>
      </c>
      <c r="C240" s="319"/>
      <c r="D240" s="324">
        <v>15988977.430000059</v>
      </c>
      <c r="E240" s="325">
        <v>543214.49000000011</v>
      </c>
      <c r="F240" s="325">
        <v>17035.94999999999</v>
      </c>
    </row>
    <row r="241" spans="2:6" x14ac:dyDescent="0.2">
      <c r="B241" s="323">
        <v>52535</v>
      </c>
      <c r="C241" s="319"/>
      <c r="D241" s="324">
        <v>15445762.940000059</v>
      </c>
      <c r="E241" s="325">
        <v>533955.6599999998</v>
      </c>
      <c r="F241" s="325">
        <v>16488.310000000001</v>
      </c>
    </row>
    <row r="242" spans="2:6" x14ac:dyDescent="0.2">
      <c r="B242" s="323">
        <v>52565</v>
      </c>
      <c r="C242" s="319"/>
      <c r="D242" s="324">
        <v>14911807.280000059</v>
      </c>
      <c r="E242" s="325">
        <v>502113.28000000009</v>
      </c>
      <c r="F242" s="325">
        <v>15818.860000000022</v>
      </c>
    </row>
    <row r="243" spans="2:6" x14ac:dyDescent="0.2">
      <c r="B243" s="323">
        <v>52596</v>
      </c>
      <c r="C243" s="319"/>
      <c r="D243" s="324">
        <v>14409694.00000006</v>
      </c>
      <c r="E243" s="325">
        <v>502437.69999999995</v>
      </c>
      <c r="F243" s="325">
        <v>15385.220000000001</v>
      </c>
    </row>
    <row r="244" spans="2:6" x14ac:dyDescent="0.2">
      <c r="B244" s="323">
        <v>52627</v>
      </c>
      <c r="C244" s="319"/>
      <c r="D244" s="324">
        <v>13907256.30000006</v>
      </c>
      <c r="E244" s="325">
        <v>500929.85000000027</v>
      </c>
      <c r="F244" s="325">
        <v>14853.12000000001</v>
      </c>
    </row>
    <row r="245" spans="2:6" x14ac:dyDescent="0.2">
      <c r="B245" s="323">
        <v>52656</v>
      </c>
      <c r="C245" s="319"/>
      <c r="D245" s="324">
        <v>13406326.450000061</v>
      </c>
      <c r="E245" s="325">
        <v>408916.58999999991</v>
      </c>
      <c r="F245" s="325">
        <v>11347.889999999996</v>
      </c>
    </row>
    <row r="246" spans="2:6" x14ac:dyDescent="0.2">
      <c r="B246" s="323">
        <v>52687</v>
      </c>
      <c r="C246" s="319"/>
      <c r="D246" s="324">
        <v>12997409.860000061</v>
      </c>
      <c r="E246" s="325">
        <v>589218.7799999998</v>
      </c>
      <c r="F246" s="325">
        <v>16871.240000000005</v>
      </c>
    </row>
    <row r="247" spans="2:6" x14ac:dyDescent="0.2">
      <c r="B247" s="323">
        <v>52717</v>
      </c>
      <c r="C247" s="319"/>
      <c r="D247" s="324">
        <v>12408191.080000062</v>
      </c>
      <c r="E247" s="325">
        <v>493756.89000000013</v>
      </c>
      <c r="F247" s="325">
        <v>13340.439999999999</v>
      </c>
    </row>
    <row r="248" spans="2:6" x14ac:dyDescent="0.2">
      <c r="B248" s="323">
        <v>52748</v>
      </c>
      <c r="C248" s="319"/>
      <c r="D248" s="324">
        <v>11914434.190000061</v>
      </c>
      <c r="E248" s="325">
        <v>496712.2600000003</v>
      </c>
      <c r="F248" s="325">
        <v>12905.340000000007</v>
      </c>
    </row>
    <row r="249" spans="2:6" x14ac:dyDescent="0.2">
      <c r="B249" s="323">
        <v>52778</v>
      </c>
      <c r="C249" s="319"/>
      <c r="D249" s="324">
        <v>11417721.930000061</v>
      </c>
      <c r="E249" s="325">
        <v>492172.16</v>
      </c>
      <c r="F249" s="325">
        <v>12361.430000000004</v>
      </c>
    </row>
    <row r="250" spans="2:6" x14ac:dyDescent="0.2">
      <c r="B250" s="323">
        <v>52809</v>
      </c>
      <c r="C250" s="319"/>
      <c r="D250" s="324">
        <v>10925549.770000061</v>
      </c>
      <c r="E250" s="325">
        <v>495952.49999999983</v>
      </c>
      <c r="F250" s="325">
        <v>11921.17</v>
      </c>
    </row>
    <row r="251" spans="2:6" x14ac:dyDescent="0.2">
      <c r="B251" s="323">
        <v>52840</v>
      </c>
      <c r="C251" s="319"/>
      <c r="D251" s="324">
        <v>10429597.270000061</v>
      </c>
      <c r="E251" s="325">
        <v>489211.94000000012</v>
      </c>
      <c r="F251" s="325">
        <v>11406.859999999997</v>
      </c>
    </row>
    <row r="252" spans="2:6" x14ac:dyDescent="0.2">
      <c r="B252" s="323">
        <v>52870</v>
      </c>
      <c r="C252" s="319"/>
      <c r="D252" s="324">
        <v>9940385.3300000615</v>
      </c>
      <c r="E252" s="325">
        <v>485803.89000000013</v>
      </c>
      <c r="F252" s="325">
        <v>10902.900000000005</v>
      </c>
    </row>
    <row r="253" spans="2:6" x14ac:dyDescent="0.2">
      <c r="B253" s="323">
        <v>52901</v>
      </c>
      <c r="C253" s="319"/>
      <c r="D253" s="324">
        <v>9454581.4400000609</v>
      </c>
      <c r="E253" s="325">
        <v>483657.49000000011</v>
      </c>
      <c r="F253" s="325">
        <v>10458.780000000002</v>
      </c>
    </row>
    <row r="254" spans="2:6" x14ac:dyDescent="0.2">
      <c r="B254" s="323">
        <v>52931</v>
      </c>
      <c r="C254" s="319"/>
      <c r="D254" s="324">
        <v>8970923.9500000607</v>
      </c>
      <c r="E254" s="325">
        <v>477728.20999999985</v>
      </c>
      <c r="F254" s="325">
        <v>9947.0499999999975</v>
      </c>
    </row>
    <row r="255" spans="2:6" x14ac:dyDescent="0.2">
      <c r="B255" s="323">
        <v>52962</v>
      </c>
      <c r="C255" s="319"/>
      <c r="D255" s="324">
        <v>8493195.7400000617</v>
      </c>
      <c r="E255" s="325">
        <v>471256.45000000036</v>
      </c>
      <c r="F255" s="325">
        <v>9504.15</v>
      </c>
    </row>
    <row r="256" spans="2:6" x14ac:dyDescent="0.2">
      <c r="B256" s="323">
        <v>52993</v>
      </c>
      <c r="C256" s="319"/>
      <c r="D256" s="324">
        <v>8021939.2900000615</v>
      </c>
      <c r="E256" s="325">
        <v>450073.76999999984</v>
      </c>
      <c r="F256" s="325">
        <v>9021.3299999999963</v>
      </c>
    </row>
    <row r="257" spans="2:6" x14ac:dyDescent="0.2">
      <c r="B257" s="323">
        <v>53021</v>
      </c>
      <c r="C257" s="319"/>
      <c r="D257" s="324">
        <v>7571865.520000062</v>
      </c>
      <c r="E257" s="325">
        <v>343058.33999999997</v>
      </c>
      <c r="F257" s="325">
        <v>6612.4499999999953</v>
      </c>
    </row>
    <row r="258" spans="2:6" x14ac:dyDescent="0.2">
      <c r="B258" s="323">
        <v>53052</v>
      </c>
      <c r="C258" s="319"/>
      <c r="D258" s="324">
        <v>7228807.1800000621</v>
      </c>
      <c r="E258" s="325">
        <v>467971.77</v>
      </c>
      <c r="F258" s="325">
        <v>10092.710000000006</v>
      </c>
    </row>
    <row r="259" spans="2:6" x14ac:dyDescent="0.2">
      <c r="B259" s="323">
        <v>53082</v>
      </c>
      <c r="C259" s="319"/>
      <c r="D259" s="324">
        <v>6760835.4100000616</v>
      </c>
      <c r="E259" s="325">
        <v>363175.35000000003</v>
      </c>
      <c r="F259" s="325">
        <v>7727.6099999999951</v>
      </c>
    </row>
    <row r="260" spans="2:6" x14ac:dyDescent="0.2">
      <c r="B260" s="323">
        <v>53113</v>
      </c>
      <c r="C260" s="319"/>
      <c r="D260" s="324">
        <v>6397660.060000062</v>
      </c>
      <c r="E260" s="325">
        <v>357969.94999999995</v>
      </c>
      <c r="F260" s="325">
        <v>7354.1799999999985</v>
      </c>
    </row>
    <row r="261" spans="2:6" x14ac:dyDescent="0.2">
      <c r="B261" s="323">
        <v>53143</v>
      </c>
      <c r="C261" s="319"/>
      <c r="D261" s="324">
        <v>6039690.1100000618</v>
      </c>
      <c r="E261" s="325">
        <v>340867.17000000004</v>
      </c>
      <c r="F261" s="325">
        <v>6965.4500000000071</v>
      </c>
    </row>
    <row r="262" spans="2:6" x14ac:dyDescent="0.2">
      <c r="B262" s="323">
        <v>53174</v>
      </c>
      <c r="C262" s="319"/>
      <c r="D262" s="324">
        <v>5698822.9400000619</v>
      </c>
      <c r="E262" s="325">
        <v>311284.32</v>
      </c>
      <c r="F262" s="325">
        <v>6606.64</v>
      </c>
    </row>
    <row r="263" spans="2:6" x14ac:dyDescent="0.2">
      <c r="B263" s="323">
        <v>53205</v>
      </c>
      <c r="C263" s="319"/>
      <c r="D263" s="324">
        <v>5387538.6200000616</v>
      </c>
      <c r="E263" s="325">
        <v>285885.86000000004</v>
      </c>
      <c r="F263" s="325">
        <v>6268.2500000000009</v>
      </c>
    </row>
    <row r="264" spans="2:6" x14ac:dyDescent="0.2">
      <c r="B264" s="323">
        <v>53235</v>
      </c>
      <c r="C264" s="319"/>
      <c r="D264" s="324">
        <v>5101652.7600000612</v>
      </c>
      <c r="E264" s="325">
        <v>279382.13000000006</v>
      </c>
      <c r="F264" s="325">
        <v>5957.09</v>
      </c>
    </row>
    <row r="265" spans="2:6" x14ac:dyDescent="0.2">
      <c r="B265" s="323">
        <v>53266</v>
      </c>
      <c r="C265" s="319"/>
      <c r="D265" s="324">
        <v>4822270.6300000614</v>
      </c>
      <c r="E265" s="325">
        <v>268772.49999999988</v>
      </c>
      <c r="F265" s="325">
        <v>5652.449999999998</v>
      </c>
    </row>
    <row r="266" spans="2:6" x14ac:dyDescent="0.2">
      <c r="B266" s="323">
        <v>53296</v>
      </c>
      <c r="C266" s="319"/>
      <c r="D266" s="324">
        <v>4553498.1300000614</v>
      </c>
      <c r="E266" s="325">
        <v>262823.74000000011</v>
      </c>
      <c r="F266" s="325">
        <v>5359.1999999999953</v>
      </c>
    </row>
    <row r="267" spans="2:6" x14ac:dyDescent="0.2">
      <c r="B267" s="323">
        <v>53327</v>
      </c>
      <c r="C267" s="319"/>
      <c r="D267" s="324">
        <v>4290674.3900000611</v>
      </c>
      <c r="E267" s="325">
        <v>249084.88999999996</v>
      </c>
      <c r="F267" s="325">
        <v>5071.6899999999978</v>
      </c>
    </row>
    <row r="268" spans="2:6" x14ac:dyDescent="0.2">
      <c r="B268" s="323">
        <v>53358</v>
      </c>
      <c r="C268" s="319"/>
      <c r="D268" s="324">
        <v>4041589.500000061</v>
      </c>
      <c r="E268" s="325">
        <v>246877.86999999997</v>
      </c>
      <c r="F268" s="325">
        <v>4799.6399999999985</v>
      </c>
    </row>
    <row r="269" spans="2:6" x14ac:dyDescent="0.2">
      <c r="B269" s="323">
        <v>53386</v>
      </c>
      <c r="C269" s="319"/>
      <c r="D269" s="324">
        <v>3794711.6300000609</v>
      </c>
      <c r="E269" s="325">
        <v>178082.15000000002</v>
      </c>
      <c r="F269" s="325">
        <v>3479.7200000000007</v>
      </c>
    </row>
    <row r="270" spans="2:6" x14ac:dyDescent="0.2">
      <c r="B270" s="323">
        <v>53417</v>
      </c>
      <c r="C270" s="319"/>
      <c r="D270" s="324">
        <v>3616629.480000061</v>
      </c>
      <c r="E270" s="325">
        <v>310998.73</v>
      </c>
      <c r="F270" s="325">
        <v>5311.72</v>
      </c>
    </row>
    <row r="271" spans="2:6" x14ac:dyDescent="0.2">
      <c r="B271" s="323">
        <v>53447</v>
      </c>
      <c r="C271" s="319"/>
      <c r="D271" s="324">
        <v>3305630.750000061</v>
      </c>
      <c r="E271" s="325">
        <v>240949.26999999993</v>
      </c>
      <c r="F271" s="325">
        <v>3996.29</v>
      </c>
    </row>
    <row r="272" spans="2:6" x14ac:dyDescent="0.2">
      <c r="B272" s="323">
        <v>53478</v>
      </c>
      <c r="C272" s="319"/>
      <c r="D272" s="324">
        <v>3064681.480000061</v>
      </c>
      <c r="E272" s="325">
        <v>236731.32000000004</v>
      </c>
      <c r="F272" s="325">
        <v>3733.3199999999988</v>
      </c>
    </row>
    <row r="273" spans="2:6" x14ac:dyDescent="0.2">
      <c r="B273" s="323">
        <v>53508</v>
      </c>
      <c r="C273" s="319"/>
      <c r="D273" s="324">
        <v>2827950.1600000612</v>
      </c>
      <c r="E273" s="325">
        <v>232201.23999999996</v>
      </c>
      <c r="F273" s="325">
        <v>3474.360000000001</v>
      </c>
    </row>
    <row r="274" spans="2:6" x14ac:dyDescent="0.2">
      <c r="B274" s="323">
        <v>53539</v>
      </c>
      <c r="C274" s="319"/>
      <c r="D274" s="324">
        <v>2595748.9200000614</v>
      </c>
      <c r="E274" s="325">
        <v>225256.67000000004</v>
      </c>
      <c r="F274" s="325">
        <v>3219.9000000000005</v>
      </c>
    </row>
    <row r="275" spans="2:6" x14ac:dyDescent="0.2">
      <c r="B275" s="323">
        <v>53570</v>
      </c>
      <c r="C275" s="319"/>
      <c r="D275" s="324">
        <v>2370492.2500000615</v>
      </c>
      <c r="E275" s="325">
        <v>199754.41999999998</v>
      </c>
      <c r="F275" s="325">
        <v>2971.85</v>
      </c>
    </row>
    <row r="276" spans="2:6" x14ac:dyDescent="0.2">
      <c r="B276" s="323">
        <v>53600</v>
      </c>
      <c r="C276" s="319"/>
      <c r="D276" s="324">
        <v>2170737.8300000615</v>
      </c>
      <c r="E276" s="325">
        <v>194363.71999999997</v>
      </c>
      <c r="F276" s="325">
        <v>2746.5</v>
      </c>
    </row>
    <row r="277" spans="2:6" x14ac:dyDescent="0.2">
      <c r="B277" s="323">
        <v>53631</v>
      </c>
      <c r="C277" s="319"/>
      <c r="D277" s="324">
        <v>1976374.1100000616</v>
      </c>
      <c r="E277" s="325">
        <v>185638.74999999997</v>
      </c>
      <c r="F277" s="325">
        <v>2526.11</v>
      </c>
    </row>
    <row r="278" spans="2:6" x14ac:dyDescent="0.2">
      <c r="B278" s="323">
        <v>53661</v>
      </c>
      <c r="C278" s="319"/>
      <c r="D278" s="324">
        <v>1790735.3600000616</v>
      </c>
      <c r="E278" s="325">
        <v>181577.05000000008</v>
      </c>
      <c r="F278" s="325">
        <v>2313.59</v>
      </c>
    </row>
    <row r="279" spans="2:6" x14ac:dyDescent="0.2">
      <c r="B279" s="323">
        <v>53692</v>
      </c>
      <c r="C279" s="319"/>
      <c r="D279" s="324">
        <v>1609158.3100000615</v>
      </c>
      <c r="E279" s="325">
        <v>173051.46999999997</v>
      </c>
      <c r="F279" s="325">
        <v>2104.4699999999998</v>
      </c>
    </row>
    <row r="280" spans="2:6" x14ac:dyDescent="0.2">
      <c r="B280" s="323">
        <v>53723</v>
      </c>
      <c r="C280" s="319"/>
      <c r="D280" s="324">
        <v>1436106.8400000616</v>
      </c>
      <c r="E280" s="325">
        <v>166763.31999999998</v>
      </c>
      <c r="F280" s="325">
        <v>1903.22</v>
      </c>
    </row>
    <row r="281" spans="2:6" x14ac:dyDescent="0.2">
      <c r="B281" s="323">
        <v>53751</v>
      </c>
      <c r="C281" s="319"/>
      <c r="D281" s="324">
        <v>1269343.5200000615</v>
      </c>
      <c r="E281" s="325">
        <v>118923.01999999997</v>
      </c>
      <c r="F281" s="325">
        <v>1359.8200000000002</v>
      </c>
    </row>
    <row r="282" spans="2:6" x14ac:dyDescent="0.2">
      <c r="B282" s="323">
        <v>53782</v>
      </c>
      <c r="C282" s="319"/>
      <c r="D282" s="324">
        <v>1150420.5000000615</v>
      </c>
      <c r="E282" s="325">
        <v>211343.84000000003</v>
      </c>
      <c r="F282" s="325">
        <v>1859.3300000000002</v>
      </c>
    </row>
    <row r="283" spans="2:6" x14ac:dyDescent="0.2">
      <c r="B283" s="323">
        <v>53812</v>
      </c>
      <c r="C283" s="319"/>
      <c r="D283" s="324">
        <v>939076.66000006138</v>
      </c>
      <c r="E283" s="325">
        <v>159869.21000000002</v>
      </c>
      <c r="F283" s="325">
        <v>1319.0699999999997</v>
      </c>
    </row>
    <row r="284" spans="2:6" x14ac:dyDescent="0.2">
      <c r="B284" s="323">
        <v>53843</v>
      </c>
      <c r="C284" s="319"/>
      <c r="D284" s="324">
        <v>779207.45000006142</v>
      </c>
      <c r="E284" s="325">
        <v>156218.31999999998</v>
      </c>
      <c r="F284" s="325">
        <v>1129.5199999999995</v>
      </c>
    </row>
    <row r="285" spans="2:6" x14ac:dyDescent="0.2">
      <c r="B285" s="323">
        <v>53873</v>
      </c>
      <c r="C285" s="319"/>
      <c r="D285" s="324">
        <v>622989.13000006147</v>
      </c>
      <c r="E285" s="325">
        <v>144938.12000000002</v>
      </c>
      <c r="F285" s="325">
        <v>943.26</v>
      </c>
    </row>
    <row r="286" spans="2:6" x14ac:dyDescent="0.2">
      <c r="B286" s="323">
        <v>53904</v>
      </c>
      <c r="C286" s="319"/>
      <c r="D286" s="324">
        <v>478051.01000006148</v>
      </c>
      <c r="E286" s="325">
        <v>131025.51000000002</v>
      </c>
      <c r="F286" s="325">
        <v>767.00000000000011</v>
      </c>
    </row>
    <row r="287" spans="2:6" x14ac:dyDescent="0.2">
      <c r="B287" s="323">
        <v>53935</v>
      </c>
      <c r="C287" s="319"/>
      <c r="D287" s="324">
        <v>347025.50000006147</v>
      </c>
      <c r="E287" s="325">
        <v>111562.40999999999</v>
      </c>
      <c r="F287" s="325">
        <v>603.50000000000011</v>
      </c>
    </row>
    <row r="288" spans="2:6" x14ac:dyDescent="0.2">
      <c r="B288" s="323">
        <v>53965</v>
      </c>
      <c r="C288" s="319"/>
      <c r="D288" s="324">
        <v>235463.09000006149</v>
      </c>
      <c r="E288" s="325">
        <v>78214.789999999994</v>
      </c>
      <c r="F288" s="325">
        <v>458.14000000000004</v>
      </c>
    </row>
    <row r="289" spans="2:6" x14ac:dyDescent="0.2">
      <c r="B289" s="323">
        <v>53996</v>
      </c>
      <c r="C289" s="319"/>
      <c r="D289" s="324">
        <v>157248.30000006151</v>
      </c>
      <c r="E289" s="325">
        <v>58053.279999999999</v>
      </c>
      <c r="F289" s="325">
        <v>347.56000000000006</v>
      </c>
    </row>
    <row r="290" spans="2:6" x14ac:dyDescent="0.2">
      <c r="B290" s="323">
        <v>54026</v>
      </c>
      <c r="C290" s="319"/>
      <c r="D290" s="324">
        <v>99195.020000061515</v>
      </c>
      <c r="E290" s="325">
        <v>19448.519999999997</v>
      </c>
      <c r="F290" s="325">
        <v>260.69000000000005</v>
      </c>
    </row>
    <row r="291" spans="2:6" x14ac:dyDescent="0.2">
      <c r="B291" s="323">
        <v>54057</v>
      </c>
      <c r="C291" s="319"/>
      <c r="D291" s="324">
        <v>79746.500000061525</v>
      </c>
      <c r="E291" s="325">
        <v>12553.960000000001</v>
      </c>
      <c r="F291" s="325">
        <v>221.01000000000002</v>
      </c>
    </row>
    <row r="292" spans="2:6" x14ac:dyDescent="0.2">
      <c r="B292" s="323">
        <v>54088</v>
      </c>
      <c r="C292" s="319"/>
      <c r="D292" s="324">
        <v>67192.540000061519</v>
      </c>
      <c r="E292" s="325">
        <v>9791.48</v>
      </c>
      <c r="F292" s="325">
        <v>190.27</v>
      </c>
    </row>
    <row r="293" spans="2:6" x14ac:dyDescent="0.2">
      <c r="B293" s="323">
        <v>54117</v>
      </c>
      <c r="C293" s="319"/>
      <c r="D293" s="324">
        <v>57401.060000061523</v>
      </c>
      <c r="E293" s="325">
        <v>9498.41</v>
      </c>
      <c r="F293" s="325">
        <v>162.98000000000002</v>
      </c>
    </row>
    <row r="294" spans="2:6" x14ac:dyDescent="0.2">
      <c r="B294" s="323">
        <v>54148</v>
      </c>
      <c r="C294" s="319"/>
      <c r="D294" s="324">
        <v>47902.65000006152</v>
      </c>
      <c r="E294" s="325">
        <v>9525.369999999999</v>
      </c>
      <c r="F294" s="325">
        <v>136.01999999999998</v>
      </c>
    </row>
    <row r="295" spans="2:6" x14ac:dyDescent="0.2">
      <c r="B295" s="323">
        <v>54178</v>
      </c>
      <c r="C295" s="319"/>
      <c r="D295" s="324">
        <v>38377.280000061524</v>
      </c>
      <c r="E295" s="325">
        <v>9552.42</v>
      </c>
      <c r="F295" s="325">
        <v>108.97</v>
      </c>
    </row>
    <row r="296" spans="2:6" x14ac:dyDescent="0.2">
      <c r="B296" s="323">
        <v>54209</v>
      </c>
      <c r="C296" s="319"/>
      <c r="D296" s="324">
        <v>28824.860000061526</v>
      </c>
      <c r="E296" s="325">
        <v>9579.5499999999993</v>
      </c>
      <c r="F296" s="325">
        <v>81.84</v>
      </c>
    </row>
    <row r="297" spans="2:6" x14ac:dyDescent="0.2">
      <c r="B297" s="323">
        <v>54239</v>
      </c>
      <c r="C297" s="319"/>
      <c r="D297" s="324">
        <v>19245.310000061527</v>
      </c>
      <c r="E297" s="325">
        <v>9606.75</v>
      </c>
      <c r="F297" s="325">
        <v>54.64</v>
      </c>
    </row>
    <row r="298" spans="2:6" x14ac:dyDescent="0.2">
      <c r="B298" s="323">
        <v>54270</v>
      </c>
      <c r="C298" s="319"/>
      <c r="D298" s="324">
        <v>9638.5600000615268</v>
      </c>
      <c r="E298" s="325">
        <v>9638.56</v>
      </c>
      <c r="F298" s="325">
        <v>27.369999999999997</v>
      </c>
    </row>
    <row r="299" spans="2:6" x14ac:dyDescent="0.2">
      <c r="B299" s="323"/>
      <c r="C299" s="319"/>
      <c r="D299" s="324"/>
      <c r="E299" s="325"/>
      <c r="F299" s="325"/>
    </row>
  </sheetData>
  <mergeCells count="4">
    <mergeCell ref="B10:B12"/>
    <mergeCell ref="D10:D12"/>
    <mergeCell ref="E10:E12"/>
    <mergeCell ref="F10:F12"/>
  </mergeCells>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BFB-9786-4EA6-89CF-9F4A893C500E}">
  <sheetPr>
    <tabColor theme="0" tint="-0.249977111117893"/>
  </sheetPr>
  <dimension ref="A1:I520"/>
  <sheetViews>
    <sheetView showGridLines="0" zoomScale="80" zoomScaleNormal="80" workbookViewId="0">
      <selection activeCell="L38" sqref="L38"/>
    </sheetView>
  </sheetViews>
  <sheetFormatPr defaultColWidth="8.5703125" defaultRowHeight="15" x14ac:dyDescent="0.25"/>
  <cols>
    <col min="1" max="1" width="8.5703125" style="399"/>
    <col min="2" max="2" width="62.85546875" style="400" customWidth="1"/>
    <col min="3" max="3" width="31.42578125" style="400" customWidth="1"/>
    <col min="4" max="4" width="14.42578125" style="400" customWidth="1"/>
    <col min="5" max="5" width="16.42578125" style="400" bestFit="1" customWidth="1"/>
    <col min="6" max="6" width="16.42578125" style="400" customWidth="1"/>
    <col min="7" max="7" width="16.42578125" style="400" bestFit="1" customWidth="1"/>
    <col min="8" max="8" width="8.5703125" style="400"/>
    <col min="9" max="9" width="19.85546875" style="400" customWidth="1"/>
    <col min="10" max="16384" width="8.5703125" style="400"/>
  </cols>
  <sheetData>
    <row r="1" spans="1:9" x14ac:dyDescent="0.25">
      <c r="A1" s="104"/>
      <c r="B1" s="104"/>
      <c r="C1" s="104"/>
      <c r="D1" s="104"/>
      <c r="E1" s="104"/>
      <c r="F1" s="104"/>
      <c r="G1" s="104"/>
      <c r="H1" s="104"/>
      <c r="I1" s="104"/>
    </row>
    <row r="2" spans="1:9" x14ac:dyDescent="0.25">
      <c r="A2" s="104"/>
      <c r="B2" s="106"/>
      <c r="C2" s="106"/>
      <c r="D2" s="106"/>
      <c r="E2" s="299"/>
      <c r="F2" s="106"/>
      <c r="G2" s="106"/>
      <c r="H2" s="106"/>
      <c r="I2" s="106"/>
    </row>
    <row r="3" spans="1:9" ht="14.45" customHeight="1" x14ac:dyDescent="0.25">
      <c r="A3" s="104"/>
      <c r="B3" s="106"/>
      <c r="C3" s="106"/>
      <c r="D3" s="106"/>
      <c r="E3" s="144" t="s">
        <v>134</v>
      </c>
      <c r="F3" s="680">
        <f>'00 - Cover'!$F$16</f>
        <v>45583</v>
      </c>
      <c r="G3" s="106"/>
      <c r="H3" s="144"/>
      <c r="I3" s="105"/>
    </row>
    <row r="4" spans="1:9" ht="14.45" customHeight="1" x14ac:dyDescent="0.25">
      <c r="A4" s="104"/>
      <c r="B4" s="106"/>
      <c r="C4" s="106"/>
      <c r="D4" s="106"/>
      <c r="E4" s="144" t="s">
        <v>655</v>
      </c>
      <c r="F4" s="680">
        <f>'00 - Cover'!$F$15</f>
        <v>45580</v>
      </c>
      <c r="G4" s="106"/>
      <c r="H4" s="144"/>
      <c r="I4" s="105"/>
    </row>
    <row r="5" spans="1:9" ht="14.45" customHeight="1" x14ac:dyDescent="0.25">
      <c r="A5" s="104"/>
      <c r="B5" s="106"/>
      <c r="C5" s="106"/>
      <c r="D5" s="106"/>
      <c r="E5" s="144" t="s">
        <v>94</v>
      </c>
      <c r="F5" s="680">
        <f>'00 - Cover'!$F$16</f>
        <v>45583</v>
      </c>
      <c r="G5" s="106"/>
      <c r="H5" s="144"/>
      <c r="I5" s="105"/>
    </row>
    <row r="6" spans="1:9" ht="14.45" customHeight="1" x14ac:dyDescent="0.25">
      <c r="A6" s="104"/>
      <c r="B6" s="106"/>
      <c r="C6" s="106"/>
      <c r="D6" s="106"/>
      <c r="E6" s="144" t="s">
        <v>87</v>
      </c>
      <c r="F6" s="680">
        <f>'00 - Cover'!$F$17</f>
        <v>45590</v>
      </c>
      <c r="G6" s="106"/>
      <c r="H6" s="106"/>
      <c r="I6" s="106"/>
    </row>
    <row r="7" spans="1:9" x14ac:dyDescent="0.25">
      <c r="A7" s="104"/>
      <c r="B7" s="106"/>
      <c r="C7" s="106"/>
      <c r="D7" s="106"/>
      <c r="E7" s="106"/>
      <c r="F7" s="106"/>
      <c r="G7" s="107"/>
      <c r="H7" s="108"/>
      <c r="I7" s="106"/>
    </row>
    <row r="9" spans="1:9" ht="15.75" x14ac:dyDescent="0.25">
      <c r="A9" s="581" t="s">
        <v>551</v>
      </c>
      <c r="B9" s="582"/>
      <c r="C9" s="583"/>
      <c r="D9" s="583"/>
      <c r="E9" s="583"/>
      <c r="F9" s="583"/>
    </row>
    <row r="10" spans="1:9" ht="15.75" thickBot="1" x14ac:dyDescent="0.3"/>
    <row r="11" spans="1:9" ht="15.75" thickTop="1" x14ac:dyDescent="0.25">
      <c r="B11" s="464"/>
      <c r="C11" s="465"/>
      <c r="D11" s="465"/>
      <c r="E11" s="466"/>
    </row>
    <row r="12" spans="1:9" x14ac:dyDescent="0.25">
      <c r="B12" s="472" t="s">
        <v>255</v>
      </c>
      <c r="D12" s="467"/>
      <c r="E12" s="468"/>
    </row>
    <row r="13" spans="1:9" x14ac:dyDescent="0.25">
      <c r="B13" s="472" t="s">
        <v>287</v>
      </c>
      <c r="C13" s="798" t="s">
        <v>1377</v>
      </c>
      <c r="D13" s="467"/>
      <c r="E13" s="468"/>
    </row>
    <row r="14" spans="1:9" x14ac:dyDescent="0.25">
      <c r="B14" s="472" t="s">
        <v>300</v>
      </c>
      <c r="C14" s="475" t="s">
        <v>1261</v>
      </c>
      <c r="D14" s="467"/>
      <c r="E14" s="468"/>
    </row>
    <row r="15" spans="1:9" x14ac:dyDescent="0.25">
      <c r="B15" s="472" t="s">
        <v>310</v>
      </c>
      <c r="C15" s="475" t="s">
        <v>1378</v>
      </c>
      <c r="D15" s="467"/>
      <c r="E15" s="468"/>
    </row>
    <row r="16" spans="1:9" x14ac:dyDescent="0.25">
      <c r="B16" s="472" t="s">
        <v>318</v>
      </c>
      <c r="C16" s="475" t="s">
        <v>1262</v>
      </c>
      <c r="D16" s="467"/>
      <c r="E16" s="468"/>
    </row>
    <row r="17" spans="1:5" x14ac:dyDescent="0.25">
      <c r="B17" s="472" t="s">
        <v>1253</v>
      </c>
      <c r="C17" s="475" t="s">
        <v>1263</v>
      </c>
      <c r="D17" s="467"/>
      <c r="E17" s="468"/>
    </row>
    <row r="18" spans="1:5" x14ac:dyDescent="0.25">
      <c r="B18" s="472" t="s">
        <v>1255</v>
      </c>
      <c r="C18" s="475" t="s">
        <v>1268</v>
      </c>
      <c r="D18" s="467"/>
      <c r="E18" s="468"/>
    </row>
    <row r="19" spans="1:5" x14ac:dyDescent="0.25">
      <c r="B19" s="472" t="s">
        <v>1375</v>
      </c>
      <c r="C19" s="475" t="s">
        <v>1269</v>
      </c>
      <c r="D19" s="467"/>
      <c r="E19" s="468"/>
    </row>
    <row r="20" spans="1:5" x14ac:dyDescent="0.25">
      <c r="B20" s="472" t="s">
        <v>1376</v>
      </c>
      <c r="C20" s="475" t="s">
        <v>1379</v>
      </c>
      <c r="D20" s="467"/>
      <c r="E20" s="468"/>
    </row>
    <row r="21" spans="1:5" x14ac:dyDescent="0.25">
      <c r="B21" s="472" t="s">
        <v>1258</v>
      </c>
      <c r="C21" s="475" t="s">
        <v>1372</v>
      </c>
      <c r="D21" s="467"/>
      <c r="E21" s="468"/>
    </row>
    <row r="22" spans="1:5" x14ac:dyDescent="0.25">
      <c r="B22" s="472" t="s">
        <v>1259</v>
      </c>
      <c r="C22" s="475" t="s">
        <v>1373</v>
      </c>
      <c r="D22" s="467"/>
      <c r="E22" s="468"/>
    </row>
    <row r="23" spans="1:5" ht="15.75" thickBot="1" x14ac:dyDescent="0.3">
      <c r="B23" s="469"/>
      <c r="C23" s="470"/>
      <c r="D23" s="470"/>
      <c r="E23" s="471"/>
    </row>
    <row r="24" spans="1:5" ht="15.95" customHeight="1" thickTop="1" x14ac:dyDescent="0.25"/>
    <row r="25" spans="1:5" x14ac:dyDescent="0.25">
      <c r="B25" s="1139" t="s">
        <v>255</v>
      </c>
      <c r="C25" s="1140"/>
    </row>
    <row r="26" spans="1:5" ht="15.75" thickBot="1" x14ac:dyDescent="0.3">
      <c r="A26" s="414" t="s">
        <v>256</v>
      </c>
      <c r="B26" s="401" t="s">
        <v>257</v>
      </c>
      <c r="C26" s="402">
        <f>PrincipalOutstandingBalance[[#Totals],[Principal Outstanding Balance]]</f>
        <v>682966575.97999954</v>
      </c>
    </row>
    <row r="27" spans="1:5" ht="15.75" thickBot="1" x14ac:dyDescent="0.3">
      <c r="A27" s="414" t="s">
        <v>258</v>
      </c>
      <c r="B27" s="401" t="s">
        <v>259</v>
      </c>
      <c r="C27" s="402">
        <f>PrincipalOOriginalBalance6[[#Totals],[Principal Original Balance]]</f>
        <v>1099603246.8699999</v>
      </c>
    </row>
    <row r="28" spans="1:5" ht="15.75" thickBot="1" x14ac:dyDescent="0.3">
      <c r="A28" s="414" t="s">
        <v>260</v>
      </c>
      <c r="B28" s="401" t="s">
        <v>261</v>
      </c>
      <c r="C28" s="403">
        <f>PrincipalOutstandingBalance[[#Totals],[Nb of Loans]]</f>
        <v>3609</v>
      </c>
    </row>
    <row r="29" spans="1:5" ht="15.75" thickBot="1" x14ac:dyDescent="0.3">
      <c r="A29" s="414" t="s">
        <v>262</v>
      </c>
      <c r="B29" s="401" t="s">
        <v>263</v>
      </c>
      <c r="C29" s="403">
        <f>_xlfn.XLOOKUP(A29,INPUT_DATA!$CJ$4:$CJ$397,INPUT_DATA!$CL$4:$CL$397)</f>
        <v>3225</v>
      </c>
    </row>
    <row r="30" spans="1:5" ht="15.75" thickBot="1" x14ac:dyDescent="0.3">
      <c r="A30" s="414" t="s">
        <v>264</v>
      </c>
      <c r="B30" s="401" t="s">
        <v>265</v>
      </c>
      <c r="C30" s="402">
        <f>_xlfn.XLOOKUP(A30,INPUT_DATA!$CJ$4:$CJ$397,INPUT_DATA!$CL$4:$CL$397)</f>
        <v>189239.83817677968</v>
      </c>
    </row>
    <row r="31" spans="1:5" ht="15.75" thickBot="1" x14ac:dyDescent="0.3">
      <c r="A31" s="414" t="s">
        <v>266</v>
      </c>
      <c r="B31" s="401" t="s">
        <v>267</v>
      </c>
      <c r="C31" s="797">
        <f>_xlfn.XLOOKUP(A31,INPUT_DATA!$CJ$4:$CJ$397,INPUT_DATA!$CL$4:$CL$397)</f>
        <v>1.4292423006452863E-2</v>
      </c>
    </row>
    <row r="32" spans="1:5" ht="15.75" thickBot="1" x14ac:dyDescent="0.3">
      <c r="A32" s="414" t="s">
        <v>268</v>
      </c>
      <c r="B32" s="401" t="s">
        <v>269</v>
      </c>
      <c r="C32" s="402">
        <f>_xlfn.XLOOKUP(A32,INPUT_DATA!$CJ$4:$CJ$397,INPUT_DATA!$CL$4:$CL$397)</f>
        <v>235.04103788893377</v>
      </c>
    </row>
    <row r="33" spans="1:8" ht="15.75" thickBot="1" x14ac:dyDescent="0.3">
      <c r="A33" s="414" t="s">
        <v>270</v>
      </c>
      <c r="B33" s="401" t="s">
        <v>271</v>
      </c>
      <c r="C33" s="402">
        <f>_xlfn.XLOOKUP(A33,INPUT_DATA!$CJ$4:$CJ$397,INPUT_DATA!$CL$4:$CL$397)</f>
        <v>60.80426246006548</v>
      </c>
    </row>
    <row r="34" spans="1:8" ht="15.75" thickBot="1" x14ac:dyDescent="0.3">
      <c r="A34" s="414" t="s">
        <v>272</v>
      </c>
      <c r="B34" s="401" t="s">
        <v>273</v>
      </c>
      <c r="C34" s="402">
        <f>_xlfn.XLOOKUP(A34,INPUT_DATA!$CJ$4:$CJ$397,INPUT_DATA!$CL$4:$CL$397)</f>
        <v>174.23677542886819</v>
      </c>
    </row>
    <row r="35" spans="1:8" ht="15.75" thickBot="1" x14ac:dyDescent="0.3">
      <c r="A35" s="414" t="s">
        <v>274</v>
      </c>
      <c r="B35" s="401" t="s">
        <v>275</v>
      </c>
      <c r="C35" s="797">
        <f>_xlfn.XLOOKUP(A35,INPUT_DATA!$CJ$4:$CJ$397,INPUT_DATA!$CL$4:$CL$397)</f>
        <v>0.79181239487595501</v>
      </c>
    </row>
    <row r="36" spans="1:8" ht="15.75" thickBot="1" x14ac:dyDescent="0.3">
      <c r="A36" s="414" t="s">
        <v>276</v>
      </c>
      <c r="B36" s="401" t="s">
        <v>277</v>
      </c>
      <c r="C36" s="797">
        <f>_xlfn.XLOOKUP(A36,INPUT_DATA!$CJ$4:$CJ$397,INPUT_DATA!$CL$4:$CL$397)</f>
        <v>0.60841679098001999</v>
      </c>
    </row>
    <row r="37" spans="1:8" ht="15.75" thickBot="1" x14ac:dyDescent="0.3">
      <c r="A37" s="414" t="s">
        <v>278</v>
      </c>
      <c r="B37" s="401" t="s">
        <v>1248</v>
      </c>
      <c r="C37" s="797">
        <f>_xlfn.XLOOKUP(A37,INPUT_DATA!$CJ$4:$CJ$397,INPUT_DATA!$CL$4:$CL$397)</f>
        <v>0.45371917926047167</v>
      </c>
    </row>
    <row r="38" spans="1:8" ht="15.75" thickBot="1" x14ac:dyDescent="0.3">
      <c r="A38" s="414" t="s">
        <v>279</v>
      </c>
      <c r="B38" s="401" t="s">
        <v>282</v>
      </c>
      <c r="C38" s="797">
        <f>D163</f>
        <v>0.14300798347247404</v>
      </c>
    </row>
    <row r="39" spans="1:8" ht="15.75" thickBot="1" x14ac:dyDescent="0.3">
      <c r="A39" s="414" t="s">
        <v>280</v>
      </c>
      <c r="B39" s="401" t="s">
        <v>284</v>
      </c>
      <c r="C39" s="797">
        <f>D164</f>
        <v>4.0761019995823662E-2</v>
      </c>
    </row>
    <row r="40" spans="1:8" ht="15.75" thickBot="1" x14ac:dyDescent="0.3">
      <c r="A40" s="414" t="s">
        <v>281</v>
      </c>
      <c r="B40" s="401" t="s">
        <v>285</v>
      </c>
      <c r="C40" s="797">
        <f>D161</f>
        <v>9.7764980935107049E-2</v>
      </c>
    </row>
    <row r="41" spans="1:8" ht="15.75" thickBot="1" x14ac:dyDescent="0.3">
      <c r="A41" s="414" t="s">
        <v>283</v>
      </c>
      <c r="B41" s="401" t="s">
        <v>286</v>
      </c>
      <c r="C41" s="797">
        <f>D162</f>
        <v>0.71846601559659518</v>
      </c>
      <c r="F41" s="473"/>
      <c r="H41" s="474" t="s">
        <v>654</v>
      </c>
    </row>
    <row r="42" spans="1:8" x14ac:dyDescent="0.25">
      <c r="A42" s="414"/>
      <c r="B42" s="404"/>
      <c r="C42" s="405"/>
    </row>
    <row r="43" spans="1:8" x14ac:dyDescent="0.25">
      <c r="A43" s="414"/>
      <c r="B43" s="406" t="s">
        <v>287</v>
      </c>
      <c r="C43" s="407"/>
    </row>
    <row r="44" spans="1:8" x14ac:dyDescent="0.25">
      <c r="A44" s="414"/>
      <c r="B44" s="407"/>
      <c r="C44" s="407"/>
    </row>
    <row r="45" spans="1:8" ht="33" customHeight="1" x14ac:dyDescent="0.25">
      <c r="A45" s="414"/>
      <c r="B45" s="397" t="s">
        <v>288</v>
      </c>
      <c r="C45" s="397" t="s">
        <v>257</v>
      </c>
      <c r="D45" s="397" t="s">
        <v>289</v>
      </c>
      <c r="E45" s="397" t="s">
        <v>290</v>
      </c>
      <c r="F45" s="397" t="s">
        <v>291</v>
      </c>
      <c r="G45" s="408"/>
    </row>
    <row r="46" spans="1:8" x14ac:dyDescent="0.25">
      <c r="A46" s="415" t="s">
        <v>292</v>
      </c>
      <c r="B46" s="409" t="s">
        <v>1249</v>
      </c>
      <c r="C46" s="410">
        <f>_xlfn.XLOOKUP(A46,INPUT_DATA!$CJ$4:$CJ$397,INPUT_DATA!$CL$4:$CL$397)</f>
        <v>1447505.83</v>
      </c>
      <c r="D46" s="411">
        <f>PrincipalOutstandingBalance[[#This Row],[Principal Outstanding Balance]]/PrincipalOutstandingBalance[[#Totals],[Principal Outstanding Balance]]</f>
        <v>2.119438755729665E-3</v>
      </c>
      <c r="E46" s="412">
        <f>_xlfn.XLOOKUP(A46,INPUT_DATA!$CJ$4:$CJ$397,INPUT_DATA!$CM$4:$CM$397)</f>
        <v>304</v>
      </c>
      <c r="F46" s="411">
        <f>PrincipalOutstandingBalance[[#This Row],[Nb of Loans]]/PrincipalOutstandingBalance[[#Totals],[Nb of Loans]]</f>
        <v>8.4233859794957053E-2</v>
      </c>
    </row>
    <row r="47" spans="1:8" x14ac:dyDescent="0.25">
      <c r="A47" s="415" t="s">
        <v>293</v>
      </c>
      <c r="B47" s="409" t="s">
        <v>914</v>
      </c>
      <c r="C47" s="410">
        <f>_xlfn.XLOOKUP(A47,INPUT_DATA!$CJ$4:$CJ$397,INPUT_DATA!$CL$4:$CL$397)</f>
        <v>19473818.349999987</v>
      </c>
      <c r="D47" s="411">
        <f>PrincipalOutstandingBalance[[#This Row],[Principal Outstanding Balance]]/PrincipalOutstandingBalance[[#Totals],[Principal Outstanding Balance]]</f>
        <v>2.8513574507005261E-2</v>
      </c>
      <c r="E47" s="412">
        <f>_xlfn.XLOOKUP(A47,INPUT_DATA!$CJ$4:$CJ$397,INPUT_DATA!$CM$4:$CM$397)</f>
        <v>710</v>
      </c>
      <c r="F47" s="411">
        <f>PrincipalOutstandingBalance[[#This Row],[Nb of Loans]]/PrincipalOutstandingBalance[[#Totals],[Nb of Loans]]</f>
        <v>0.19673039623164312</v>
      </c>
    </row>
    <row r="48" spans="1:8" x14ac:dyDescent="0.25">
      <c r="A48" s="415" t="s">
        <v>294</v>
      </c>
      <c r="B48" s="409" t="s">
        <v>915</v>
      </c>
      <c r="C48" s="410">
        <f>_xlfn.XLOOKUP(A48,INPUT_DATA!$CJ$4:$CJ$397,INPUT_DATA!$CL$4:$CL$397)</f>
        <v>51047757.149999954</v>
      </c>
      <c r="D48" s="411">
        <f>PrincipalOutstandingBalance[[#This Row],[Principal Outstanding Balance]]/PrincipalOutstandingBalance[[#Totals],[Principal Outstanding Balance]]</f>
        <v>7.4744151390938457E-2</v>
      </c>
      <c r="E48" s="412">
        <f>_xlfn.XLOOKUP(A48,INPUT_DATA!$CJ$4:$CJ$397,INPUT_DATA!$CM$4:$CM$397)</f>
        <v>682</v>
      </c>
      <c r="F48" s="411">
        <f>PrincipalOutstandingBalance[[#This Row],[Nb of Loans]]/PrincipalOutstandingBalance[[#Totals],[Nb of Loans]]</f>
        <v>0.18897201440842337</v>
      </c>
    </row>
    <row r="49" spans="1:8" x14ac:dyDescent="0.25">
      <c r="A49" s="415" t="s">
        <v>295</v>
      </c>
      <c r="B49" s="409" t="s">
        <v>916</v>
      </c>
      <c r="C49" s="410">
        <f>_xlfn.XLOOKUP(A49,INPUT_DATA!$CJ$4:$CJ$397,INPUT_DATA!$CL$4:$CL$397)</f>
        <v>187753577.22999966</v>
      </c>
      <c r="D49" s="411">
        <f>PrincipalOutstandingBalance[[#This Row],[Principal Outstanding Balance]]/PrincipalOutstandingBalance[[#Totals],[Principal Outstanding Balance]]</f>
        <v>0.27490888109800848</v>
      </c>
      <c r="E49" s="412">
        <f>_xlfn.XLOOKUP(A49,INPUT_DATA!$CJ$4:$CJ$397,INPUT_DATA!$CM$4:$CM$397)</f>
        <v>1150</v>
      </c>
      <c r="F49" s="411">
        <f>PrincipalOutstandingBalance[[#This Row],[Nb of Loans]]/PrincipalOutstandingBalance[[#Totals],[Nb of Loans]]</f>
        <v>0.31864782488223886</v>
      </c>
    </row>
    <row r="50" spans="1:8" x14ac:dyDescent="0.25">
      <c r="A50" s="415" t="s">
        <v>296</v>
      </c>
      <c r="B50" s="409" t="s">
        <v>917</v>
      </c>
      <c r="C50" s="410">
        <f>_xlfn.XLOOKUP(A50,INPUT_DATA!$CJ$4:$CJ$397,INPUT_DATA!$CL$4:$CL$397)</f>
        <v>166081641.0099999</v>
      </c>
      <c r="D50" s="411">
        <f>PrincipalOutstandingBalance[[#This Row],[Principal Outstanding Balance]]/PrincipalOutstandingBalance[[#Totals],[Principal Outstanding Balance]]</f>
        <v>0.24317682131323445</v>
      </c>
      <c r="E50" s="412">
        <f>_xlfn.XLOOKUP(A50,INPUT_DATA!$CJ$4:$CJ$397,INPUT_DATA!$CM$4:$CM$397)</f>
        <v>485</v>
      </c>
      <c r="F50" s="411">
        <f>PrincipalOutstandingBalance[[#This Row],[Nb of Loans]]/PrincipalOutstandingBalance[[#Totals],[Nb of Loans]]</f>
        <v>0.1343862565807703</v>
      </c>
    </row>
    <row r="51" spans="1:8" x14ac:dyDescent="0.25">
      <c r="A51" s="415" t="s">
        <v>297</v>
      </c>
      <c r="B51" s="409" t="s">
        <v>918</v>
      </c>
      <c r="C51" s="410">
        <f>_xlfn.XLOOKUP(A51,INPUT_DATA!$CJ$4:$CJ$397,INPUT_DATA!$CL$4:$CL$397)</f>
        <v>138798173.97</v>
      </c>
      <c r="D51" s="411">
        <f>PrincipalOutstandingBalance[[#This Row],[Principal Outstanding Balance]]/PrincipalOutstandingBalance[[#Totals],[Principal Outstanding Balance]]</f>
        <v>0.2032283553127564</v>
      </c>
      <c r="E51" s="412">
        <f>_xlfn.XLOOKUP(A51,INPUT_DATA!$CJ$4:$CJ$397,INPUT_DATA!$CM$4:$CM$397)</f>
        <v>203</v>
      </c>
      <c r="F51" s="411">
        <f>PrincipalOutstandingBalance[[#This Row],[Nb of Loans]]/PrincipalOutstandingBalance[[#Totals],[Nb of Loans]]</f>
        <v>5.6248268218343028E-2</v>
      </c>
    </row>
    <row r="52" spans="1:8" x14ac:dyDescent="0.25">
      <c r="A52" s="415" t="s">
        <v>298</v>
      </c>
      <c r="B52" s="409" t="s">
        <v>919</v>
      </c>
      <c r="C52" s="410">
        <f>_xlfn.XLOOKUP(A52,INPUT_DATA!$CJ$4:$CJ$397,INPUT_DATA!$CL$4:$CL$397)</f>
        <v>87029906.360000014</v>
      </c>
      <c r="D52" s="411">
        <f>PrincipalOutstandingBalance[[#This Row],[Principal Outstanding Balance]]/PrincipalOutstandingBalance[[#Totals],[Principal Outstanding Balance]]</f>
        <v>0.12742923214817567</v>
      </c>
      <c r="E52" s="412">
        <f>_xlfn.XLOOKUP(A52,INPUT_DATA!$CJ$4:$CJ$397,INPUT_DATA!$CM$4:$CM$397)</f>
        <v>64</v>
      </c>
      <c r="F52" s="411">
        <f>PrincipalOutstandingBalance[[#This Row],[Nb of Loans]]/PrincipalOutstandingBalance[[#Totals],[Nb of Loans]]</f>
        <v>1.7733444167359381E-2</v>
      </c>
    </row>
    <row r="53" spans="1:8" x14ac:dyDescent="0.25">
      <c r="A53" s="415" t="s">
        <v>299</v>
      </c>
      <c r="B53" s="409" t="s">
        <v>1250</v>
      </c>
      <c r="C53" s="410">
        <f>_xlfn.XLOOKUP(A53,INPUT_DATA!$CJ$4:$CJ$397,INPUT_DATA!$CL$4:$CL$397)</f>
        <v>31334196.079999998</v>
      </c>
      <c r="D53" s="411">
        <f>PrincipalOutstandingBalance[[#This Row],[Principal Outstanding Balance]]/PrincipalOutstandingBalance[[#Totals],[Principal Outstanding Balance]]</f>
        <v>4.5879545474151594E-2</v>
      </c>
      <c r="E53" s="412">
        <f>_xlfn.XLOOKUP(A53,INPUT_DATA!$CJ$4:$CJ$397,INPUT_DATA!$CM$4:$CM$397)</f>
        <v>11</v>
      </c>
      <c r="F53" s="411">
        <f>PrincipalOutstandingBalance[[#This Row],[Nb of Loans]]/PrincipalOutstandingBalance[[#Totals],[Nb of Loans]]</f>
        <v>3.0479357162648932E-3</v>
      </c>
    </row>
    <row r="54" spans="1:8" x14ac:dyDescent="0.25">
      <c r="A54" s="414"/>
      <c r="B54" s="705" t="s">
        <v>2</v>
      </c>
      <c r="C54" s="792">
        <f>SUBTOTAL(109,PrincipalOutstandingBalance[Principal Outstanding Balance])</f>
        <v>682966575.97999954</v>
      </c>
      <c r="D54" s="793">
        <f>SUBTOTAL(109,PrincipalOutstandingBalance[% of Total (Amount)])</f>
        <v>1</v>
      </c>
      <c r="E54" s="794">
        <f>SUBTOTAL(109,PrincipalOutstandingBalance[Nb of Loans])</f>
        <v>3609</v>
      </c>
      <c r="F54" s="793">
        <f>SUBTOTAL(109,PrincipalOutstandingBalance[% of Total (Number)])</f>
        <v>1</v>
      </c>
    </row>
    <row r="55" spans="1:8" x14ac:dyDescent="0.25">
      <c r="A55" s="414"/>
      <c r="B55" s="407"/>
      <c r="C55" s="413"/>
      <c r="H55" s="474" t="s">
        <v>654</v>
      </c>
    </row>
    <row r="56" spans="1:8" x14ac:dyDescent="0.25">
      <c r="A56" s="414"/>
      <c r="B56" s="407" t="s">
        <v>300</v>
      </c>
      <c r="C56" s="407"/>
    </row>
    <row r="57" spans="1:8" x14ac:dyDescent="0.25">
      <c r="A57" s="414"/>
      <c r="B57" s="407"/>
      <c r="C57" s="407"/>
    </row>
    <row r="58" spans="1:8" ht="33" customHeight="1" x14ac:dyDescent="0.25">
      <c r="A58" s="414"/>
      <c r="B58" s="397" t="s">
        <v>301</v>
      </c>
      <c r="C58" s="397" t="s">
        <v>257</v>
      </c>
      <c r="D58" s="397" t="s">
        <v>289</v>
      </c>
      <c r="E58" s="397" t="s">
        <v>290</v>
      </c>
      <c r="F58" s="397" t="s">
        <v>291</v>
      </c>
      <c r="G58" s="397" t="s">
        <v>1374</v>
      </c>
    </row>
    <row r="59" spans="1:8" x14ac:dyDescent="0.25">
      <c r="A59" s="414" t="s">
        <v>302</v>
      </c>
      <c r="B59" s="409" t="s">
        <v>1249</v>
      </c>
      <c r="C59" s="410">
        <f>_xlfn.XLOOKUP(A59,INPUT_DATA!$CJ$4:$CJ$397,INPUT_DATA!$CL$4:$CL$397)</f>
        <v>0</v>
      </c>
      <c r="D59" s="411">
        <f>PrincipalOOriginalBalance6[[#This Row],[Principal Outstanding Balance]]/PrincipalOOriginalBalance6[[#Totals],[Principal Outstanding Balance]]</f>
        <v>0</v>
      </c>
      <c r="E59" s="412">
        <f>_xlfn.XLOOKUP(A59,INPUT_DATA!$CJ$4:$CJ$397,INPUT_DATA!$CM$4:$CM$397)</f>
        <v>0</v>
      </c>
      <c r="F59" s="411">
        <f>PrincipalOOriginalBalance6[[#This Row],[Nb of Loans]]/PrincipalOOriginalBalance6[[#Totals],[Nb of Loans]]</f>
        <v>0</v>
      </c>
      <c r="G59" s="410">
        <f>_xlfn.XLOOKUP(A59,INPUT_DATA!$CJ$4:$CJ$397,INPUT_DATA!$CN$4:$CN$397)</f>
        <v>0</v>
      </c>
    </row>
    <row r="60" spans="1:8" x14ac:dyDescent="0.25">
      <c r="A60" s="414" t="s">
        <v>303</v>
      </c>
      <c r="B60" s="409" t="s">
        <v>914</v>
      </c>
      <c r="C60" s="410">
        <f>_xlfn.XLOOKUP(A60,INPUT_DATA!$CJ$4:$CJ$397,INPUT_DATA!$CL$4:$CL$397)</f>
        <v>991761</v>
      </c>
      <c r="D60" s="411">
        <f>PrincipalOOriginalBalance6[[#This Row],[Principal Outstanding Balance]]/PrincipalOOriginalBalance6[[#Totals],[Principal Outstanding Balance]]</f>
        <v>1.4521369491280096E-3</v>
      </c>
      <c r="E60" s="412">
        <f>_xlfn.XLOOKUP(A60,INPUT_DATA!$CJ$4:$CJ$397,INPUT_DATA!$CM$4:$CM$397)</f>
        <v>76</v>
      </c>
      <c r="F60" s="411">
        <f>PrincipalOOriginalBalance6[[#This Row],[Nb of Loans]]/PrincipalOOriginalBalance6[[#Totals],[Nb of Loans]]</f>
        <v>2.1058464948739263E-2</v>
      </c>
      <c r="G60" s="410">
        <f>_xlfn.XLOOKUP(A60,INPUT_DATA!$CJ$4:$CJ$397,INPUT_DATA!$CN$4:$CN$397)</f>
        <v>3060895.79</v>
      </c>
    </row>
    <row r="61" spans="1:8" x14ac:dyDescent="0.25">
      <c r="A61" s="414" t="s">
        <v>304</v>
      </c>
      <c r="B61" s="409" t="s">
        <v>915</v>
      </c>
      <c r="C61" s="410">
        <f>_xlfn.XLOOKUP(A61,INPUT_DATA!$CJ$4:$CJ$397,INPUT_DATA!$CL$4:$CL$397)</f>
        <v>12780322.799999995</v>
      </c>
      <c r="D61" s="411">
        <f>PrincipalOOriginalBalance6[[#This Row],[Principal Outstanding Balance]]/PrincipalOOriginalBalance6[[#Totals],[Principal Outstanding Balance]]</f>
        <v>1.871295499587414E-2</v>
      </c>
      <c r="E61" s="412">
        <f>_xlfn.XLOOKUP(A61,INPUT_DATA!$CJ$4:$CJ$397,INPUT_DATA!$CM$4:$CM$397)</f>
        <v>339</v>
      </c>
      <c r="F61" s="411">
        <f>PrincipalOOriginalBalance6[[#This Row],[Nb of Loans]]/PrincipalOOriginalBalance6[[#Totals],[Nb of Loans]]</f>
        <v>9.3931837073981714E-2</v>
      </c>
      <c r="G61" s="410">
        <f>_xlfn.XLOOKUP(A61,INPUT_DATA!$CJ$4:$CJ$397,INPUT_DATA!$CN$4:$CN$397)</f>
        <v>28318305.539999999</v>
      </c>
    </row>
    <row r="62" spans="1:8" x14ac:dyDescent="0.25">
      <c r="A62" s="414" t="s">
        <v>305</v>
      </c>
      <c r="B62" s="409" t="s">
        <v>916</v>
      </c>
      <c r="C62" s="410">
        <f>_xlfn.XLOOKUP(A62,INPUT_DATA!$CJ$4:$CJ$397,INPUT_DATA!$CL$4:$CL$397)</f>
        <v>158345817.14000008</v>
      </c>
      <c r="D62" s="411">
        <f>PrincipalOOriginalBalance6[[#This Row],[Principal Outstanding Balance]]/PrincipalOOriginalBalance6[[#Totals],[Principal Outstanding Balance]]</f>
        <v>0.23185002415789832</v>
      </c>
      <c r="E62" s="412">
        <f>_xlfn.XLOOKUP(A62,INPUT_DATA!$CJ$4:$CJ$397,INPUT_DATA!$CM$4:$CM$397)</f>
        <v>1739</v>
      </c>
      <c r="F62" s="411">
        <f>PrincipalOOriginalBalance6[[#This Row],[Nb of Loans]]/PrincipalOOriginalBalance6[[#Totals],[Nb of Loans]]</f>
        <v>0.48185092823496811</v>
      </c>
      <c r="G62" s="410">
        <f>_xlfn.XLOOKUP(A62,INPUT_DATA!$CJ$4:$CJ$397,INPUT_DATA!$CN$4:$CN$397)</f>
        <v>306889561.79000002</v>
      </c>
    </row>
    <row r="63" spans="1:8" x14ac:dyDescent="0.25">
      <c r="A63" s="414" t="s">
        <v>306</v>
      </c>
      <c r="B63" s="409" t="s">
        <v>917</v>
      </c>
      <c r="C63" s="410">
        <f>_xlfn.XLOOKUP(A63,INPUT_DATA!$CJ$4:$CJ$397,INPUT_DATA!$CL$4:$CL$397)</f>
        <v>204622808.72999987</v>
      </c>
      <c r="D63" s="411">
        <f>PrincipalOOriginalBalance6[[#This Row],[Principal Outstanding Balance]]/PrincipalOOriginalBalance6[[#Totals],[Principal Outstanding Balance]]</f>
        <v>0.29960881824470437</v>
      </c>
      <c r="E63" s="412">
        <f>_xlfn.XLOOKUP(A63,INPUT_DATA!$CJ$4:$CJ$397,INPUT_DATA!$CM$4:$CM$397)</f>
        <v>1028</v>
      </c>
      <c r="F63" s="411">
        <f>PrincipalOOriginalBalance6[[#This Row],[Nb of Loans]]/PrincipalOOriginalBalance6[[#Totals],[Nb of Loans]]</f>
        <v>0.28484344693821001</v>
      </c>
      <c r="G63" s="410">
        <f>_xlfn.XLOOKUP(A63,INPUT_DATA!$CJ$4:$CJ$397,INPUT_DATA!$CN$4:$CN$397)</f>
        <v>352084678.62999988</v>
      </c>
    </row>
    <row r="64" spans="1:8" x14ac:dyDescent="0.25">
      <c r="A64" s="414" t="s">
        <v>307</v>
      </c>
      <c r="B64" s="409" t="s">
        <v>918</v>
      </c>
      <c r="C64" s="410">
        <f>_xlfn.XLOOKUP(A64,INPUT_DATA!$CJ$4:$CJ$397,INPUT_DATA!$CL$4:$CL$397)</f>
        <v>155259466.78</v>
      </c>
      <c r="D64" s="411">
        <f>PrincipalOOriginalBalance6[[#This Row],[Principal Outstanding Balance]]/PrincipalOOriginalBalance6[[#Totals],[Principal Outstanding Balance]]</f>
        <v>0.22733098842679916</v>
      </c>
      <c r="E64" s="412">
        <f>_xlfn.XLOOKUP(A64,INPUT_DATA!$CJ$4:$CJ$397,INPUT_DATA!$CM$4:$CM$397)</f>
        <v>308</v>
      </c>
      <c r="F64" s="411">
        <f>PrincipalOOriginalBalance6[[#This Row],[Nb of Loans]]/PrincipalOOriginalBalance6[[#Totals],[Nb of Loans]]</f>
        <v>8.5342200055417011E-2</v>
      </c>
      <c r="G64" s="410">
        <f>_xlfn.XLOOKUP(A64,INPUT_DATA!$CJ$4:$CJ$397,INPUT_DATA!$CN$4:$CN$397)</f>
        <v>213298050.31999996</v>
      </c>
    </row>
    <row r="65" spans="1:8" x14ac:dyDescent="0.25">
      <c r="A65" s="414" t="s">
        <v>308</v>
      </c>
      <c r="B65" s="409" t="s">
        <v>919</v>
      </c>
      <c r="C65" s="410">
        <f>_xlfn.XLOOKUP(A65,INPUT_DATA!$CJ$4:$CJ$397,INPUT_DATA!$CL$4:$CL$397)</f>
        <v>106855243.64000003</v>
      </c>
      <c r="D65" s="411">
        <f>PrincipalOOriginalBalance6[[#This Row],[Principal Outstanding Balance]]/PrincipalOOriginalBalance6[[#Totals],[Principal Outstanding Balance]]</f>
        <v>0.15645750084719987</v>
      </c>
      <c r="E65" s="412">
        <f>_xlfn.XLOOKUP(A65,INPUT_DATA!$CJ$4:$CJ$397,INPUT_DATA!$CM$4:$CM$397)</f>
        <v>99</v>
      </c>
      <c r="F65" s="411">
        <f>PrincipalOOriginalBalance6[[#This Row],[Nb of Loans]]/PrincipalOOriginalBalance6[[#Totals],[Nb of Loans]]</f>
        <v>2.7431421446384038E-2</v>
      </c>
      <c r="G65" s="410">
        <f>_xlfn.XLOOKUP(A65,INPUT_DATA!$CJ$4:$CJ$397,INPUT_DATA!$CN$4:$CN$397)</f>
        <v>136794754.80000001</v>
      </c>
    </row>
    <row r="66" spans="1:8" x14ac:dyDescent="0.25">
      <c r="A66" s="414" t="s">
        <v>309</v>
      </c>
      <c r="B66" s="409" t="s">
        <v>1250</v>
      </c>
      <c r="C66" s="410">
        <f>_xlfn.XLOOKUP(A66,INPUT_DATA!$CJ$4:$CJ$397,INPUT_DATA!$CL$4:$CL$397)</f>
        <v>44111155.890000001</v>
      </c>
      <c r="D66" s="411">
        <f>PrincipalOOriginalBalance6[[#This Row],[Principal Outstanding Balance]]/PrincipalOOriginalBalance6[[#Totals],[Principal Outstanding Balance]]</f>
        <v>6.4587576378396239E-2</v>
      </c>
      <c r="E66" s="412">
        <f>_xlfn.XLOOKUP(A66,INPUT_DATA!$CJ$4:$CJ$397,INPUT_DATA!$CM$4:$CM$397)</f>
        <v>20</v>
      </c>
      <c r="F66" s="411">
        <f>PrincipalOOriginalBalance6[[#This Row],[Nb of Loans]]/PrincipalOOriginalBalance6[[#Totals],[Nb of Loans]]</f>
        <v>5.5417013022998063E-3</v>
      </c>
      <c r="G66" s="410">
        <f>_xlfn.XLOOKUP(A66,INPUT_DATA!$CJ$4:$CJ$397,INPUT_DATA!$CN$4:$CN$397)</f>
        <v>59157000</v>
      </c>
    </row>
    <row r="67" spans="1:8" x14ac:dyDescent="0.25">
      <c r="A67" s="414"/>
      <c r="B67" s="705" t="s">
        <v>2</v>
      </c>
      <c r="C67" s="792">
        <f>SUBTOTAL(109,PrincipalOOriginalBalance6[Principal Outstanding Balance])</f>
        <v>682966575.9799999</v>
      </c>
      <c r="D67" s="793">
        <f>SUBTOTAL(109,PrincipalOOriginalBalance6[% of Total (Amount)])</f>
        <v>1</v>
      </c>
      <c r="E67" s="794">
        <f>SUBTOTAL(109,PrincipalOOriginalBalance6[Nb of Loans])</f>
        <v>3609</v>
      </c>
      <c r="F67" s="793">
        <f>SUBTOTAL(109,PrincipalOOriginalBalance6[% of Total (Number)])</f>
        <v>0.99999999999999989</v>
      </c>
      <c r="G67" s="792">
        <f>SUBTOTAL(109,PrincipalOOriginalBalance6[Principal Original Balance])</f>
        <v>1099603246.8699999</v>
      </c>
    </row>
    <row r="68" spans="1:8" x14ac:dyDescent="0.25">
      <c r="A68" s="414"/>
      <c r="B68" s="409"/>
      <c r="C68" s="410"/>
      <c r="D68" s="411"/>
      <c r="E68" s="412"/>
      <c r="F68" s="411"/>
      <c r="H68" s="474" t="s">
        <v>654</v>
      </c>
    </row>
    <row r="69" spans="1:8" x14ac:dyDescent="0.25">
      <c r="A69" s="414"/>
      <c r="B69" s="407" t="s">
        <v>310</v>
      </c>
      <c r="C69" s="407"/>
    </row>
    <row r="70" spans="1:8" x14ac:dyDescent="0.25">
      <c r="A70" s="414"/>
      <c r="B70" s="407"/>
      <c r="C70" s="407"/>
    </row>
    <row r="71" spans="1:8" ht="33" customHeight="1" x14ac:dyDescent="0.25">
      <c r="A71" s="414"/>
      <c r="B71" s="397" t="s">
        <v>311</v>
      </c>
      <c r="C71" s="397" t="s">
        <v>257</v>
      </c>
      <c r="D71" s="397" t="s">
        <v>289</v>
      </c>
      <c r="E71" s="397" t="s">
        <v>290</v>
      </c>
      <c r="F71" s="397" t="s">
        <v>291</v>
      </c>
      <c r="G71" s="408"/>
    </row>
    <row r="72" spans="1:8" x14ac:dyDescent="0.25">
      <c r="A72" s="415" t="s">
        <v>312</v>
      </c>
      <c r="B72" s="705" t="s">
        <v>1251</v>
      </c>
      <c r="C72" s="410">
        <f>_xlfn.XLOOKUP(A72,INPUT_DATA!$CJ$4:$CJ$397,INPUT_DATA!$CL$4:$CL$397)</f>
        <v>10307876.199999999</v>
      </c>
      <c r="D72" s="411">
        <f>Seasonning[[#This Row],[Principal Outstanding Balance]]/Seasonning[[#Totals],[Principal Outstanding Balance]]</f>
        <v>1.5092797455291362E-2</v>
      </c>
      <c r="E72" s="412">
        <f>_xlfn.XLOOKUP(A72,INPUT_DATA!$CJ$4:$CJ$397,INPUT_DATA!$CM$4:$CM$397)</f>
        <v>43</v>
      </c>
      <c r="F72" s="411">
        <f>Seasonning[[#This Row],[Nb of Loans]]/Seasonning[[#Totals],[Nb of Loans]]</f>
        <v>1.1914657799944583E-2</v>
      </c>
    </row>
    <row r="73" spans="1:8" x14ac:dyDescent="0.25">
      <c r="A73" s="415" t="s">
        <v>313</v>
      </c>
      <c r="B73" s="705" t="s">
        <v>922</v>
      </c>
      <c r="C73" s="410">
        <f>_xlfn.XLOOKUP(A73,INPUT_DATA!$CJ$4:$CJ$397,INPUT_DATA!$CL$4:$CL$397)</f>
        <v>460504317.89000005</v>
      </c>
      <c r="D73" s="411">
        <f>Seasonning[[#This Row],[Principal Outstanding Balance]]/Seasonning[[#Totals],[Principal Outstanding Balance]]</f>
        <v>0.67427065113576723</v>
      </c>
      <c r="E73" s="412">
        <f>_xlfn.XLOOKUP(A73,INPUT_DATA!$CJ$4:$CJ$397,INPUT_DATA!$CM$4:$CM$397)</f>
        <v>1413</v>
      </c>
      <c r="F73" s="411">
        <f>Seasonning[[#This Row],[Nb of Loans]]/Seasonning[[#Totals],[Nb of Loans]]</f>
        <v>0.39152119700748128</v>
      </c>
    </row>
    <row r="74" spans="1:8" x14ac:dyDescent="0.25">
      <c r="A74" s="415" t="s">
        <v>314</v>
      </c>
      <c r="B74" s="705" t="s">
        <v>923</v>
      </c>
      <c r="C74" s="410">
        <f>_xlfn.XLOOKUP(A74,INPUT_DATA!$CJ$4:$CJ$397,INPUT_DATA!$CL$4:$CL$397)</f>
        <v>131535338.91</v>
      </c>
      <c r="D74" s="411">
        <f>Seasonning[[#This Row],[Principal Outstanding Balance]]/Seasonning[[#Totals],[Principal Outstanding Balance]]</f>
        <v>0.19259410860810833</v>
      </c>
      <c r="E74" s="412">
        <f>_xlfn.XLOOKUP(A74,INPUT_DATA!$CJ$4:$CJ$397,INPUT_DATA!$CM$4:$CM$397)</f>
        <v>775</v>
      </c>
      <c r="F74" s="411">
        <f>Seasonning[[#This Row],[Nb of Loans]]/Seasonning[[#Totals],[Nb of Loans]]</f>
        <v>0.21474092546411749</v>
      </c>
    </row>
    <row r="75" spans="1:8" x14ac:dyDescent="0.25">
      <c r="A75" s="415" t="s">
        <v>315</v>
      </c>
      <c r="B75" s="705" t="s">
        <v>924</v>
      </c>
      <c r="C75" s="410">
        <f>_xlfn.XLOOKUP(A75,INPUT_DATA!$CJ$4:$CJ$397,INPUT_DATA!$CL$4:$CL$397)</f>
        <v>42894219.180000037</v>
      </c>
      <c r="D75" s="411">
        <f>Seasonning[[#This Row],[Principal Outstanding Balance]]/Seasonning[[#Totals],[Principal Outstanding Balance]]</f>
        <v>6.2805737042768761E-2</v>
      </c>
      <c r="E75" s="412">
        <f>_xlfn.XLOOKUP(A75,INPUT_DATA!$CJ$4:$CJ$397,INPUT_DATA!$CM$4:$CM$397)</f>
        <v>505</v>
      </c>
      <c r="F75" s="411">
        <f>Seasonning[[#This Row],[Nb of Loans]]/Seasonning[[#Totals],[Nb of Loans]]</f>
        <v>0.13992795788307011</v>
      </c>
    </row>
    <row r="76" spans="1:8" x14ac:dyDescent="0.25">
      <c r="A76" s="415" t="s">
        <v>316</v>
      </c>
      <c r="B76" s="705" t="s">
        <v>925</v>
      </c>
      <c r="C76" s="410">
        <f>_xlfn.XLOOKUP(A76,INPUT_DATA!$CJ$4:$CJ$397,INPUT_DATA!$CL$4:$CL$397)</f>
        <v>37695809.900000013</v>
      </c>
      <c r="D76" s="411">
        <f>Seasonning[[#This Row],[Principal Outstanding Balance]]/Seasonning[[#Totals],[Principal Outstanding Balance]]</f>
        <v>5.5194223591263851E-2</v>
      </c>
      <c r="E76" s="412">
        <f>_xlfn.XLOOKUP(A76,INPUT_DATA!$CJ$4:$CJ$397,INPUT_DATA!$CM$4:$CM$397)</f>
        <v>870</v>
      </c>
      <c r="F76" s="411">
        <f>Seasonning[[#This Row],[Nb of Loans]]/Seasonning[[#Totals],[Nb of Loans]]</f>
        <v>0.24106400665004157</v>
      </c>
    </row>
    <row r="77" spans="1:8" x14ac:dyDescent="0.25">
      <c r="A77" s="415" t="s">
        <v>317</v>
      </c>
      <c r="B77" s="705" t="s">
        <v>1252</v>
      </c>
      <c r="C77" s="410">
        <f>_xlfn.XLOOKUP(A77,INPUT_DATA!$CJ$4:$CJ$397,INPUT_DATA!$CL$4:$CL$397)</f>
        <v>29013.9</v>
      </c>
      <c r="D77" s="411">
        <f>Seasonning[[#This Row],[Principal Outstanding Balance]]/Seasonning[[#Totals],[Principal Outstanding Balance]]</f>
        <v>4.2482166800575092E-5</v>
      </c>
      <c r="E77" s="412">
        <f>_xlfn.XLOOKUP(A77,INPUT_DATA!$CJ$4:$CJ$397,INPUT_DATA!$CM$4:$CM$397)</f>
        <v>3</v>
      </c>
      <c r="F77" s="411">
        <f>Seasonning[[#This Row],[Nb of Loans]]/Seasonning[[#Totals],[Nb of Loans]]</f>
        <v>8.3125519534497092E-4</v>
      </c>
    </row>
    <row r="78" spans="1:8" x14ac:dyDescent="0.25">
      <c r="A78" s="414"/>
      <c r="B78" s="705" t="s">
        <v>2</v>
      </c>
      <c r="C78" s="792">
        <f>SUBTOTAL(109,Seasonning[Principal Outstanding Balance])</f>
        <v>682966575.98000002</v>
      </c>
      <c r="D78" s="793">
        <f>SUBTOTAL(109,Seasonning[% of Total (Amount)])</f>
        <v>1</v>
      </c>
      <c r="E78" s="794">
        <f>SUBTOTAL(109,Seasonning[Nb of Loans])</f>
        <v>3609</v>
      </c>
      <c r="F78" s="793">
        <f>SUBTOTAL(109,Seasonning[% of Total (Number)])</f>
        <v>1</v>
      </c>
    </row>
    <row r="79" spans="1:8" x14ac:dyDescent="0.25">
      <c r="A79" s="414"/>
      <c r="B79" s="409"/>
      <c r="C79" s="410"/>
      <c r="D79" s="411"/>
      <c r="E79" s="412"/>
      <c r="F79" s="411"/>
      <c r="H79" s="474" t="s">
        <v>654</v>
      </c>
    </row>
    <row r="80" spans="1:8" ht="15" customHeight="1" x14ac:dyDescent="0.25">
      <c r="A80" s="414"/>
      <c r="B80" s="407" t="s">
        <v>318</v>
      </c>
      <c r="C80" s="407"/>
    </row>
    <row r="81" spans="1:8" ht="15" customHeight="1" x14ac:dyDescent="0.25">
      <c r="A81" s="414"/>
      <c r="B81" s="407"/>
      <c r="C81" s="407"/>
    </row>
    <row r="82" spans="1:8" ht="33" customHeight="1" x14ac:dyDescent="0.25">
      <c r="A82" s="414"/>
      <c r="B82" s="397" t="s">
        <v>319</v>
      </c>
      <c r="C82" s="397" t="s">
        <v>257</v>
      </c>
      <c r="D82" s="397" t="s">
        <v>289</v>
      </c>
      <c r="E82" s="397" t="s">
        <v>290</v>
      </c>
      <c r="F82" s="397" t="s">
        <v>291</v>
      </c>
      <c r="G82" s="408"/>
    </row>
    <row r="83" spans="1:8" x14ac:dyDescent="0.25">
      <c r="A83" s="414" t="s">
        <v>320</v>
      </c>
      <c r="B83" s="705" t="s">
        <v>1251</v>
      </c>
      <c r="C83" s="410">
        <f>_xlfn.XLOOKUP(A83,INPUT_DATA!$CJ$4:$CJ$397,INPUT_DATA!$CL$4:$CL$397)</f>
        <v>5490600.9899999956</v>
      </c>
      <c r="D83" s="411">
        <f>RemainingTermToMaturity[[#This Row],[Principal Outstanding Balance]]/RemainingTermToMaturity[[#Totals],[Principal Outstanding Balance]]</f>
        <v>8.0393406985128733E-3</v>
      </c>
      <c r="E83" s="412">
        <f>_xlfn.XLOOKUP(A83,INPUT_DATA!$CJ$4:$CJ$397,INPUT_DATA!$CM$4:$CM$397)</f>
        <v>354</v>
      </c>
      <c r="F83" s="411">
        <f>RemainingTermToMaturity[[#This Row],[Nb of Loans]]/RemainingTermToMaturity[[#Totals],[Nb of Loans]]</f>
        <v>9.8088113050706568E-2</v>
      </c>
    </row>
    <row r="84" spans="1:8" x14ac:dyDescent="0.25">
      <c r="A84" s="414" t="s">
        <v>321</v>
      </c>
      <c r="B84" s="705" t="s">
        <v>922</v>
      </c>
      <c r="C84" s="410">
        <f>_xlfn.XLOOKUP(A84,INPUT_DATA!$CJ$4:$CJ$397,INPUT_DATA!$CL$4:$CL$397)</f>
        <v>38534519.530000009</v>
      </c>
      <c r="D84" s="411">
        <f>RemainingTermToMaturity[[#This Row],[Principal Outstanding Balance]]/RemainingTermToMaturity[[#Totals],[Principal Outstanding Balance]]</f>
        <v>5.6422262648367839E-2</v>
      </c>
      <c r="E84" s="412">
        <f>_xlfn.XLOOKUP(A84,INPUT_DATA!$CJ$4:$CJ$397,INPUT_DATA!$CM$4:$CM$397)</f>
        <v>740</v>
      </c>
      <c r="F84" s="411">
        <f>RemainingTermToMaturity[[#This Row],[Nb of Loans]]/RemainingTermToMaturity[[#Totals],[Nb of Loans]]</f>
        <v>0.20504294818509283</v>
      </c>
    </row>
    <row r="85" spans="1:8" x14ac:dyDescent="0.25">
      <c r="A85" s="414" t="s">
        <v>322</v>
      </c>
      <c r="B85" s="705" t="s">
        <v>923</v>
      </c>
      <c r="C85" s="410">
        <f>_xlfn.XLOOKUP(A85,INPUT_DATA!$CJ$4:$CJ$397,INPUT_DATA!$CL$4:$CL$397)</f>
        <v>110391235.67999995</v>
      </c>
      <c r="D85" s="411">
        <f>RemainingTermToMaturity[[#This Row],[Principal Outstanding Balance]]/RemainingTermToMaturity[[#Totals],[Principal Outstanding Balance]]</f>
        <v>0.16163490214963711</v>
      </c>
      <c r="E85" s="412">
        <f>_xlfn.XLOOKUP(A85,INPUT_DATA!$CJ$4:$CJ$397,INPUT_DATA!$CM$4:$CM$397)</f>
        <v>854</v>
      </c>
      <c r="F85" s="411">
        <f>RemainingTermToMaturity[[#This Row],[Nb of Loans]]/RemainingTermToMaturity[[#Totals],[Nb of Loans]]</f>
        <v>0.23663064560820171</v>
      </c>
    </row>
    <row r="86" spans="1:8" x14ac:dyDescent="0.25">
      <c r="A86" s="414" t="s">
        <v>323</v>
      </c>
      <c r="B86" s="705" t="s">
        <v>924</v>
      </c>
      <c r="C86" s="410">
        <f>_xlfn.XLOOKUP(A86,INPUT_DATA!$CJ$4:$CJ$397,INPUT_DATA!$CL$4:$CL$397)</f>
        <v>162233062.71999988</v>
      </c>
      <c r="D86" s="411">
        <f>RemainingTermToMaturity[[#This Row],[Principal Outstanding Balance]]/RemainingTermToMaturity[[#Totals],[Principal Outstanding Balance]]</f>
        <v>0.23754173106818452</v>
      </c>
      <c r="E86" s="412">
        <f>_xlfn.XLOOKUP(A86,INPUT_DATA!$CJ$4:$CJ$397,INPUT_DATA!$CM$4:$CM$397)</f>
        <v>663</v>
      </c>
      <c r="F86" s="411">
        <f>RemainingTermToMaturity[[#This Row],[Nb of Loans]]/RemainingTermToMaturity[[#Totals],[Nb of Loans]]</f>
        <v>0.18370739817123857</v>
      </c>
    </row>
    <row r="87" spans="1:8" x14ac:dyDescent="0.25">
      <c r="A87" s="414" t="s">
        <v>324</v>
      </c>
      <c r="B87" s="705" t="s">
        <v>925</v>
      </c>
      <c r="C87" s="410">
        <f>_xlfn.XLOOKUP(A87,INPUT_DATA!$CJ$4:$CJ$397,INPUT_DATA!$CL$4:$CL$397)</f>
        <v>253683880.92999986</v>
      </c>
      <c r="D87" s="411">
        <f>RemainingTermToMaturity[[#This Row],[Principal Outstanding Balance]]/RemainingTermToMaturity[[#Totals],[Principal Outstanding Balance]]</f>
        <v>0.37144406454442491</v>
      </c>
      <c r="E87" s="412">
        <f>_xlfn.XLOOKUP(A87,INPUT_DATA!$CJ$4:$CJ$397,INPUT_DATA!$CM$4:$CM$397)</f>
        <v>783</v>
      </c>
      <c r="F87" s="411">
        <f>RemainingTermToMaturity[[#This Row],[Nb of Loans]]/RemainingTermToMaturity[[#Totals],[Nb of Loans]]</f>
        <v>0.21695760598503741</v>
      </c>
    </row>
    <row r="88" spans="1:8" x14ac:dyDescent="0.25">
      <c r="A88" s="414" t="s">
        <v>325</v>
      </c>
      <c r="B88" s="705" t="s">
        <v>1252</v>
      </c>
      <c r="C88" s="410">
        <f>_xlfn.XLOOKUP(A88,INPUT_DATA!$CJ$4:$CJ$397,INPUT_DATA!$CL$4:$CL$397)</f>
        <v>112633276.13000003</v>
      </c>
      <c r="D88" s="411">
        <f>RemainingTermToMaturity[[#This Row],[Principal Outstanding Balance]]/RemainingTermToMaturity[[#Totals],[Principal Outstanding Balance]]</f>
        <v>0.16491769889087285</v>
      </c>
      <c r="E88" s="412">
        <f>_xlfn.XLOOKUP(A88,INPUT_DATA!$CJ$4:$CJ$397,INPUT_DATA!$CM$4:$CM$397)</f>
        <v>215</v>
      </c>
      <c r="F88" s="411">
        <f>RemainingTermToMaturity[[#This Row],[Nb of Loans]]/RemainingTermToMaturity[[#Totals],[Nb of Loans]]</f>
        <v>5.9573288999722918E-2</v>
      </c>
    </row>
    <row r="89" spans="1:8" x14ac:dyDescent="0.25">
      <c r="A89" s="414"/>
      <c r="B89" s="705" t="s">
        <v>2</v>
      </c>
      <c r="C89" s="792">
        <f>SUBTOTAL(109,RemainingTermToMaturity[Principal Outstanding Balance])</f>
        <v>682966575.97999966</v>
      </c>
      <c r="D89" s="793">
        <f>SUBTOTAL(109,RemainingTermToMaturity[% of Total (Amount)])</f>
        <v>1.0000000000000002</v>
      </c>
      <c r="E89" s="794">
        <f>SUBTOTAL(109,RemainingTermToMaturity[Nb of Loans])</f>
        <v>3609</v>
      </c>
      <c r="F89" s="793">
        <f>SUBTOTAL(109,RemainingTermToMaturity[% of Total (Number)])</f>
        <v>1</v>
      </c>
    </row>
    <row r="90" spans="1:8" ht="14.45" customHeight="1" x14ac:dyDescent="0.25">
      <c r="A90" s="414"/>
      <c r="B90" s="409"/>
      <c r="C90" s="410"/>
      <c r="D90" s="411"/>
      <c r="E90" s="412"/>
      <c r="F90" s="411"/>
      <c r="H90" s="474" t="s">
        <v>654</v>
      </c>
    </row>
    <row r="91" spans="1:8" x14ac:dyDescent="0.25">
      <c r="A91" s="414"/>
      <c r="B91" s="407" t="s">
        <v>1253</v>
      </c>
      <c r="C91" s="407"/>
    </row>
    <row r="92" spans="1:8" ht="15" customHeight="1" x14ac:dyDescent="0.25">
      <c r="A92" s="414"/>
      <c r="B92" s="407"/>
      <c r="C92" s="407"/>
    </row>
    <row r="93" spans="1:8" ht="33" customHeight="1" x14ac:dyDescent="0.25">
      <c r="A93" s="414"/>
      <c r="B93" s="397" t="s">
        <v>550</v>
      </c>
      <c r="C93" s="397" t="s">
        <v>257</v>
      </c>
      <c r="D93" s="397" t="s">
        <v>289</v>
      </c>
      <c r="E93" s="397" t="s">
        <v>290</v>
      </c>
      <c r="F93" s="397" t="s">
        <v>291</v>
      </c>
      <c r="G93" s="408"/>
    </row>
    <row r="94" spans="1:8" x14ac:dyDescent="0.25">
      <c r="A94" s="414" t="s">
        <v>327</v>
      </c>
      <c r="B94" s="705" t="s">
        <v>1251</v>
      </c>
      <c r="C94" s="410">
        <f>_xlfn.XLOOKUP(A94,INPUT_DATA!$CJ$4:$CJ$397,INPUT_DATA!$CL$4:$CL$397)</f>
        <v>0</v>
      </c>
      <c r="D94" s="411">
        <f>OriginalTermToMaturity29[[#This Row],[Principal Outstanding Balance]]/OriginalTermToMaturity29[[#Totals],[Principal Outstanding Balance]]</f>
        <v>0</v>
      </c>
      <c r="E94" s="412">
        <f>_xlfn.XLOOKUP(A94,INPUT_DATA!$CJ$4:$CJ$397,INPUT_DATA!$CM$4:$CM$397)</f>
        <v>0</v>
      </c>
      <c r="F94" s="411">
        <f>OriginalTermToMaturity29[[#This Row],[Nb of Loans]]/OriginalTermToMaturity29[[#Totals],[Nb of Loans]]</f>
        <v>0</v>
      </c>
    </row>
    <row r="95" spans="1:8" x14ac:dyDescent="0.25">
      <c r="A95" s="414" t="s">
        <v>328</v>
      </c>
      <c r="B95" s="705" t="s">
        <v>922</v>
      </c>
      <c r="C95" s="410">
        <f>_xlfn.XLOOKUP(A95,INPUT_DATA!$CJ$4:$CJ$397,INPUT_DATA!$CL$4:$CL$397)</f>
        <v>724628.04</v>
      </c>
      <c r="D95" s="411">
        <f>OriginalTermToMaturity29[[#This Row],[Principal Outstanding Balance]]/OriginalTermToMaturity29[[#Totals],[Principal Outstanding Balance]]</f>
        <v>1.0610007363247888E-3</v>
      </c>
      <c r="E95" s="412">
        <f>_xlfn.XLOOKUP(A95,INPUT_DATA!$CJ$4:$CJ$397,INPUT_DATA!$CM$4:$CM$397)</f>
        <v>3</v>
      </c>
      <c r="F95" s="411">
        <f>OriginalTermToMaturity29[[#This Row],[Nb of Loans]]/OriginalTermToMaturity29[[#Totals],[Nb of Loans]]</f>
        <v>8.3125519534497092E-4</v>
      </c>
    </row>
    <row r="96" spans="1:8" x14ac:dyDescent="0.25">
      <c r="A96" s="414" t="s">
        <v>329</v>
      </c>
      <c r="B96" s="705" t="s">
        <v>923</v>
      </c>
      <c r="C96" s="410">
        <f>_xlfn.XLOOKUP(A96,INPUT_DATA!$CJ$4:$CJ$397,INPUT_DATA!$CL$4:$CL$397)</f>
        <v>28166843.879999995</v>
      </c>
      <c r="D96" s="411">
        <f>OriginalTermToMaturity29[[#This Row],[Principal Outstanding Balance]]/OriginalTermToMaturity29[[#Totals],[Principal Outstanding Balance]]</f>
        <v>4.1241906808664706E-2</v>
      </c>
      <c r="E96" s="412">
        <f>_xlfn.XLOOKUP(A96,INPUT_DATA!$CJ$4:$CJ$397,INPUT_DATA!$CM$4:$CM$397)</f>
        <v>252</v>
      </c>
      <c r="F96" s="411">
        <f>OriginalTermToMaturity29[[#This Row],[Nb of Loans]]/OriginalTermToMaturity29[[#Totals],[Nb of Loans]]</f>
        <v>6.9825436408977551E-2</v>
      </c>
    </row>
    <row r="97" spans="1:8" x14ac:dyDescent="0.25">
      <c r="A97" s="414" t="s">
        <v>330</v>
      </c>
      <c r="B97" s="705" t="s">
        <v>924</v>
      </c>
      <c r="C97" s="410">
        <f>_xlfn.XLOOKUP(A97,INPUT_DATA!$CJ$4:$CJ$397,INPUT_DATA!$CL$4:$CL$397)</f>
        <v>115302802.45999996</v>
      </c>
      <c r="D97" s="411">
        <f>OriginalTermToMaturity29[[#This Row],[Principal Outstanding Balance]]/OriginalTermToMaturity29[[#Totals],[Principal Outstanding Balance]]</f>
        <v>0.16882642067007456</v>
      </c>
      <c r="E97" s="412">
        <f>_xlfn.XLOOKUP(A97,INPUT_DATA!$CJ$4:$CJ$397,INPUT_DATA!$CM$4:$CM$397)</f>
        <v>684</v>
      </c>
      <c r="F97" s="411">
        <f>OriginalTermToMaturity29[[#This Row],[Nb of Loans]]/OriginalTermToMaturity29[[#Totals],[Nb of Loans]]</f>
        <v>0.18952618453865336</v>
      </c>
    </row>
    <row r="98" spans="1:8" x14ac:dyDescent="0.25">
      <c r="A98" s="414" t="s">
        <v>331</v>
      </c>
      <c r="B98" s="705" t="s">
        <v>925</v>
      </c>
      <c r="C98" s="410">
        <f>_xlfn.XLOOKUP(A98,INPUT_DATA!$CJ$4:$CJ$397,INPUT_DATA!$CL$4:$CL$397)</f>
        <v>310718213.41000026</v>
      </c>
      <c r="D98" s="411">
        <f>OriginalTermToMaturity29[[#This Row],[Principal Outstanding Balance]]/OriginalTermToMaturity29[[#Totals],[Principal Outstanding Balance]]</f>
        <v>0.45495376250901509</v>
      </c>
      <c r="E98" s="412">
        <f>_xlfn.XLOOKUP(A98,INPUT_DATA!$CJ$4:$CJ$397,INPUT_DATA!$CM$4:$CM$397)</f>
        <v>1610</v>
      </c>
      <c r="F98" s="411">
        <f>OriginalTermToMaturity29[[#This Row],[Nb of Loans]]/OriginalTermToMaturity29[[#Totals],[Nb of Loans]]</f>
        <v>0.44610695483513441</v>
      </c>
    </row>
    <row r="99" spans="1:8" x14ac:dyDescent="0.25">
      <c r="A99" s="414" t="s">
        <v>332</v>
      </c>
      <c r="B99" s="705" t="s">
        <v>927</v>
      </c>
      <c r="C99" s="410">
        <f>_xlfn.XLOOKUP(A99,INPUT_DATA!$CJ$4:$CJ$397,INPUT_DATA!$CL$4:$CL$397)</f>
        <v>193169936.03000006</v>
      </c>
      <c r="D99" s="411">
        <f>OriginalTermToMaturity29[[#This Row],[Principal Outstanding Balance]]/OriginalTermToMaturity29[[#Totals],[Principal Outstanding Balance]]</f>
        <v>0.28283951634502358</v>
      </c>
      <c r="E99" s="412">
        <f>_xlfn.XLOOKUP(A99,INPUT_DATA!$CJ$4:$CJ$397,INPUT_DATA!$CM$4:$CM$397)</f>
        <v>939</v>
      </c>
      <c r="F99" s="411">
        <f>OriginalTermToMaturity29[[#This Row],[Nb of Loans]]/OriginalTermToMaturity29[[#Totals],[Nb of Loans]]</f>
        <v>0.26018287614297592</v>
      </c>
    </row>
    <row r="100" spans="1:8" x14ac:dyDescent="0.25">
      <c r="A100" s="414" t="s">
        <v>333</v>
      </c>
      <c r="B100" s="705" t="s">
        <v>1254</v>
      </c>
      <c r="C100" s="410">
        <f>_xlfn.XLOOKUP(A100,INPUT_DATA!$CJ$4:$CJ$397,INPUT_DATA!$CL$4:$CL$397)</f>
        <v>34884152.160000019</v>
      </c>
      <c r="D100" s="411">
        <f>OriginalTermToMaturity29[[#This Row],[Principal Outstanding Balance]]/OriginalTermToMaturity29[[#Totals],[Principal Outstanding Balance]]</f>
        <v>5.1077392930897331E-2</v>
      </c>
      <c r="E100" s="412">
        <f>_xlfn.XLOOKUP(A100,INPUT_DATA!$CJ$4:$CJ$397,INPUT_DATA!$CM$4:$CM$397)</f>
        <v>121</v>
      </c>
      <c r="F100" s="411">
        <f>OriginalTermToMaturity29[[#This Row],[Nb of Loans]]/OriginalTermToMaturity29[[#Totals],[Nb of Loans]]</f>
        <v>3.3527292878913824E-2</v>
      </c>
    </row>
    <row r="101" spans="1:8" x14ac:dyDescent="0.25">
      <c r="A101" s="414"/>
      <c r="B101" s="705" t="s">
        <v>2</v>
      </c>
      <c r="C101" s="792">
        <f>SUBTOTAL(109,OriginalTermToMaturity29[Principal Outstanding Balance])</f>
        <v>682966575.98000026</v>
      </c>
      <c r="D101" s="793">
        <f>SUBTOTAL(109,OriginalTermToMaturity29[% of Total (Amount)])</f>
        <v>1</v>
      </c>
      <c r="E101" s="794">
        <f>SUBTOTAL(109,OriginalTermToMaturity29[Nb of Loans])</f>
        <v>3609</v>
      </c>
      <c r="F101" s="793">
        <f>SUBTOTAL(109,OriginalTermToMaturity29[% of Total (Number)])</f>
        <v>1</v>
      </c>
    </row>
    <row r="102" spans="1:8" x14ac:dyDescent="0.25">
      <c r="B102" s="409"/>
      <c r="C102" s="410"/>
      <c r="D102" s="411"/>
      <c r="E102" s="412"/>
      <c r="F102" s="411"/>
      <c r="H102" s="474" t="s">
        <v>654</v>
      </c>
    </row>
    <row r="103" spans="1:8" x14ac:dyDescent="0.25">
      <c r="A103" s="414"/>
      <c r="B103" s="407" t="s">
        <v>1255</v>
      </c>
      <c r="C103" s="407"/>
    </row>
    <row r="104" spans="1:8" ht="15" customHeight="1" x14ac:dyDescent="0.25">
      <c r="A104" s="414"/>
      <c r="B104" s="407"/>
      <c r="C104" s="407"/>
    </row>
    <row r="105" spans="1:8" ht="33" customHeight="1" x14ac:dyDescent="0.25">
      <c r="A105" s="414"/>
      <c r="B105" s="397" t="s">
        <v>326</v>
      </c>
      <c r="C105" s="397" t="s">
        <v>257</v>
      </c>
      <c r="D105" s="397" t="s">
        <v>289</v>
      </c>
      <c r="E105" s="397" t="s">
        <v>290</v>
      </c>
      <c r="F105" s="397" t="s">
        <v>291</v>
      </c>
      <c r="G105" s="408"/>
    </row>
    <row r="106" spans="1:8" x14ac:dyDescent="0.25">
      <c r="A106" s="415" t="s">
        <v>335</v>
      </c>
      <c r="B106" s="409">
        <v>2003</v>
      </c>
      <c r="C106" s="410">
        <f>_xlfn.XLOOKUP(A106,INPUT_DATA!$CJ$4:$CJ$397,INPUT_DATA!$CL$4:$CL$397)</f>
        <v>0</v>
      </c>
      <c r="D106" s="411">
        <f>OriginationYear[[#This Row],[Principal Outstanding Balance]]/OriginationYear[[#Totals],[Principal Outstanding Balance]]</f>
        <v>0</v>
      </c>
      <c r="E106" s="412">
        <f>_xlfn.XLOOKUP(A106,INPUT_DATA!$CJ$4:$CJ$397,INPUT_DATA!$CM$4:$CM$397)</f>
        <v>0</v>
      </c>
      <c r="F106" s="411">
        <f>OriginationYear[[#This Row],[Nb of Loans]]/OriginationYear[[#Totals],[Nb of Loans]]</f>
        <v>0</v>
      </c>
    </row>
    <row r="107" spans="1:8" x14ac:dyDescent="0.25">
      <c r="A107" s="415" t="s">
        <v>336</v>
      </c>
      <c r="B107" s="409">
        <v>2004</v>
      </c>
      <c r="C107" s="410">
        <f>_xlfn.XLOOKUP(A107,INPUT_DATA!$CJ$4:$CJ$397,INPUT_DATA!$CL$4:$CL$397)</f>
        <v>92229.540000000008</v>
      </c>
      <c r="D107" s="411">
        <f>OriginationYear[[#This Row],[Principal Outstanding Balance]]/OriginationYear[[#Totals],[Principal Outstanding Balance]]</f>
        <v>1.3504253830820095E-4</v>
      </c>
      <c r="E107" s="412">
        <f>_xlfn.XLOOKUP(A107,INPUT_DATA!$CJ$4:$CJ$397,INPUT_DATA!$CM$4:$CM$397)</f>
        <v>25</v>
      </c>
      <c r="F107" s="411">
        <f>OriginationYear[[#This Row],[Nb of Loans]]/OriginationYear[[#Totals],[Nb of Loans]]</f>
        <v>6.9271266278747579E-3</v>
      </c>
    </row>
    <row r="108" spans="1:8" x14ac:dyDescent="0.25">
      <c r="A108" s="415" t="s">
        <v>337</v>
      </c>
      <c r="B108" s="409">
        <v>2005</v>
      </c>
      <c r="C108" s="410">
        <f>_xlfn.XLOOKUP(A108,INPUT_DATA!$CJ$4:$CJ$397,INPUT_DATA!$CL$4:$CL$397)</f>
        <v>5026974.4200000009</v>
      </c>
      <c r="D108" s="795">
        <f>OriginationYear[[#This Row],[Principal Outstanding Balance]]/OriginationYear[[#Totals],[Principal Outstanding Balance]]</f>
        <v>7.3604984442858148E-3</v>
      </c>
      <c r="E108" s="796">
        <f>_xlfn.XLOOKUP(A108,INPUT_DATA!$CJ$4:$CJ$397,INPUT_DATA!$CM$4:$CM$397)</f>
        <v>296</v>
      </c>
      <c r="F108" s="795">
        <f>OriginationYear[[#This Row],[Nb of Loans]]/OriginationYear[[#Totals],[Nb of Loans]]</f>
        <v>8.2017179274037136E-2</v>
      </c>
    </row>
    <row r="109" spans="1:8" x14ac:dyDescent="0.25">
      <c r="A109" s="415" t="s">
        <v>338</v>
      </c>
      <c r="B109" s="409">
        <v>2006</v>
      </c>
      <c r="C109" s="410">
        <f>_xlfn.XLOOKUP(A109,INPUT_DATA!$CJ$4:$CJ$397,INPUT_DATA!$CL$4:$CL$397)</f>
        <v>5514578.0799999991</v>
      </c>
      <c r="D109" s="795">
        <f>OriginationYear[[#This Row],[Principal Outstanding Balance]]/OriginationYear[[#Totals],[Principal Outstanding Balance]]</f>
        <v>8.0744479656080365E-3</v>
      </c>
      <c r="E109" s="796">
        <f>_xlfn.XLOOKUP(A109,INPUT_DATA!$CJ$4:$CJ$397,INPUT_DATA!$CM$4:$CM$397)</f>
        <v>164</v>
      </c>
      <c r="F109" s="795">
        <f>OriginationYear[[#This Row],[Nb of Loans]]/OriginationYear[[#Totals],[Nb of Loans]]</f>
        <v>4.5441950678858409E-2</v>
      </c>
    </row>
    <row r="110" spans="1:8" x14ac:dyDescent="0.25">
      <c r="A110" s="415" t="s">
        <v>339</v>
      </c>
      <c r="B110" s="409">
        <v>2007</v>
      </c>
      <c r="C110" s="410">
        <f>_xlfn.XLOOKUP(A110,INPUT_DATA!$CJ$4:$CJ$397,INPUT_DATA!$CL$4:$CL$397)</f>
        <v>7935990.6299999999</v>
      </c>
      <c r="D110" s="795">
        <f>OriginationYear[[#This Row],[Principal Outstanding Balance]]/OriginationYear[[#Totals],[Principal Outstanding Balance]]</f>
        <v>1.1619881424815723E-2</v>
      </c>
      <c r="E110" s="796">
        <f>_xlfn.XLOOKUP(A110,INPUT_DATA!$CJ$4:$CJ$397,INPUT_DATA!$CM$4:$CM$397)</f>
        <v>146</v>
      </c>
      <c r="F110" s="795">
        <f>OriginationYear[[#This Row],[Nb of Loans]]/OriginationYear[[#Totals],[Nb of Loans]]</f>
        <v>4.0454419506788582E-2</v>
      </c>
    </row>
    <row r="111" spans="1:8" x14ac:dyDescent="0.25">
      <c r="A111" s="415" t="s">
        <v>340</v>
      </c>
      <c r="B111" s="409">
        <v>2008</v>
      </c>
      <c r="C111" s="410">
        <f>_xlfn.XLOOKUP(A111,INPUT_DATA!$CJ$4:$CJ$397,INPUT_DATA!$CL$4:$CL$397)</f>
        <v>7357889.0700000012</v>
      </c>
      <c r="D111" s="795">
        <f>OriginationYear[[#This Row],[Principal Outstanding Balance]]/OriginationYear[[#Totals],[Principal Outstanding Balance]]</f>
        <v>1.0773424833333965E-2</v>
      </c>
      <c r="E111" s="796">
        <f>_xlfn.XLOOKUP(A111,INPUT_DATA!$CJ$4:$CJ$397,INPUT_DATA!$CM$4:$CM$397)</f>
        <v>114</v>
      </c>
      <c r="F111" s="795">
        <f>OriginationYear[[#This Row],[Nb of Loans]]/OriginationYear[[#Totals],[Nb of Loans]]</f>
        <v>3.1587697423108893E-2</v>
      </c>
    </row>
    <row r="112" spans="1:8" x14ac:dyDescent="0.25">
      <c r="A112" s="415" t="s">
        <v>341</v>
      </c>
      <c r="B112" s="409">
        <v>2009</v>
      </c>
      <c r="C112" s="410">
        <f>_xlfn.XLOOKUP(A112,INPUT_DATA!$CJ$4:$CJ$397,INPUT_DATA!$CL$4:$CL$397)</f>
        <v>27763483.610000003</v>
      </c>
      <c r="D112" s="795">
        <f>OriginationYear[[#This Row],[Principal Outstanding Balance]]/OriginationYear[[#Totals],[Principal Outstanding Balance]]</f>
        <v>4.06513065008514E-2</v>
      </c>
      <c r="E112" s="796">
        <f>_xlfn.XLOOKUP(A112,INPUT_DATA!$CJ$4:$CJ$397,INPUT_DATA!$CM$4:$CM$397)</f>
        <v>281</v>
      </c>
      <c r="F112" s="795">
        <f>OriginationYear[[#This Row],[Nb of Loans]]/OriginationYear[[#Totals],[Nb of Loans]]</f>
        <v>7.7860903297312281E-2</v>
      </c>
    </row>
    <row r="113" spans="1:8" x14ac:dyDescent="0.25">
      <c r="A113" s="415" t="s">
        <v>342</v>
      </c>
      <c r="B113" s="409">
        <v>2010</v>
      </c>
      <c r="C113" s="410">
        <f>_xlfn.XLOOKUP(A113,INPUT_DATA!$CJ$4:$CJ$397,INPUT_DATA!$CL$4:$CL$397)</f>
        <v>14951204.560000008</v>
      </c>
      <c r="D113" s="795">
        <f>OriginationYear[[#This Row],[Principal Outstanding Balance]]/OriginationYear[[#Totals],[Principal Outstanding Balance]]</f>
        <v>2.1891561147844279E-2</v>
      </c>
      <c r="E113" s="796">
        <f>_xlfn.XLOOKUP(A113,INPUT_DATA!$CJ$4:$CJ$397,INPUT_DATA!$CM$4:$CM$397)</f>
        <v>188</v>
      </c>
      <c r="F113" s="795">
        <f>OriginationYear[[#This Row],[Nb of Loans]]/OriginationYear[[#Totals],[Nb of Loans]]</f>
        <v>5.2091992241618174E-2</v>
      </c>
    </row>
    <row r="114" spans="1:8" x14ac:dyDescent="0.25">
      <c r="A114" s="415" t="s">
        <v>343</v>
      </c>
      <c r="B114" s="409">
        <v>2011</v>
      </c>
      <c r="C114" s="410">
        <f>_xlfn.XLOOKUP(A114,INPUT_DATA!$CJ$4:$CJ$397,INPUT_DATA!$CL$4:$CL$397)</f>
        <v>5709297.6099999994</v>
      </c>
      <c r="D114" s="795">
        <f>OriginationYear[[#This Row],[Principal Outstanding Balance]]/OriginationYear[[#Totals],[Principal Outstanding Balance]]</f>
        <v>8.3595563982141186E-3</v>
      </c>
      <c r="E114" s="796">
        <f>_xlfn.XLOOKUP(A114,INPUT_DATA!$CJ$4:$CJ$397,INPUT_DATA!$CM$4:$CM$397)</f>
        <v>81</v>
      </c>
      <c r="F114" s="795">
        <f>OriginationYear[[#This Row],[Nb of Loans]]/OriginationYear[[#Totals],[Nb of Loans]]</f>
        <v>2.2443890274314215E-2</v>
      </c>
    </row>
    <row r="115" spans="1:8" x14ac:dyDescent="0.25">
      <c r="A115" s="415" t="s">
        <v>344</v>
      </c>
      <c r="B115" s="409">
        <v>2012</v>
      </c>
      <c r="C115" s="410">
        <f>_xlfn.XLOOKUP(A115,INPUT_DATA!$CJ$4:$CJ$397,INPUT_DATA!$CL$4:$CL$397)</f>
        <v>980838.35</v>
      </c>
      <c r="D115" s="795">
        <f>OriginationYear[[#This Row],[Principal Outstanding Balance]]/OriginationYear[[#Totals],[Principal Outstanding Balance]]</f>
        <v>1.436143999569201E-3</v>
      </c>
      <c r="E115" s="796">
        <f>_xlfn.XLOOKUP(A115,INPUT_DATA!$CJ$4:$CJ$397,INPUT_DATA!$CM$4:$CM$397)</f>
        <v>19</v>
      </c>
      <c r="F115" s="795">
        <f>OriginationYear[[#This Row],[Nb of Loans]]/OriginationYear[[#Totals],[Nb of Loans]]</f>
        <v>5.2646162371848158E-3</v>
      </c>
    </row>
    <row r="116" spans="1:8" x14ac:dyDescent="0.25">
      <c r="A116" s="415" t="s">
        <v>345</v>
      </c>
      <c r="B116" s="409">
        <v>2013</v>
      </c>
      <c r="C116" s="410">
        <f>_xlfn.XLOOKUP(A116,INPUT_DATA!$CJ$4:$CJ$397,INPUT_DATA!$CL$4:$CL$397)</f>
        <v>1700381.6900000002</v>
      </c>
      <c r="D116" s="795">
        <f>OriginationYear[[#This Row],[Principal Outstanding Balance]]/OriginationYear[[#Totals],[Principal Outstanding Balance]]</f>
        <v>2.4896997156267772E-3</v>
      </c>
      <c r="E116" s="796">
        <f>_xlfn.XLOOKUP(A116,INPUT_DATA!$CJ$4:$CJ$397,INPUT_DATA!$CM$4:$CM$397)</f>
        <v>24</v>
      </c>
      <c r="F116" s="795">
        <f>OriginationYear[[#This Row],[Nb of Loans]]/OriginationYear[[#Totals],[Nb of Loans]]</f>
        <v>6.6500415627597674E-3</v>
      </c>
    </row>
    <row r="117" spans="1:8" x14ac:dyDescent="0.25">
      <c r="A117" s="415" t="s">
        <v>346</v>
      </c>
      <c r="B117" s="409">
        <v>2014</v>
      </c>
      <c r="C117" s="410">
        <f>_xlfn.XLOOKUP(A117,INPUT_DATA!$CJ$4:$CJ$397,INPUT_DATA!$CL$4:$CL$397)</f>
        <v>6483443.0100000007</v>
      </c>
      <c r="D117" s="795">
        <f>OriginationYear[[#This Row],[Principal Outstanding Balance]]/OriginationYear[[#Totals],[Principal Outstanding Balance]]</f>
        <v>9.4930604776621765E-3</v>
      </c>
      <c r="E117" s="796">
        <f>_xlfn.XLOOKUP(A117,INPUT_DATA!$CJ$4:$CJ$397,INPUT_DATA!$CM$4:$CM$397)</f>
        <v>66</v>
      </c>
      <c r="F117" s="795">
        <f>OriginationYear[[#This Row],[Nb of Loans]]/OriginationYear[[#Totals],[Nb of Loans]]</f>
        <v>1.828761429758936E-2</v>
      </c>
    </row>
    <row r="118" spans="1:8" x14ac:dyDescent="0.25">
      <c r="A118" s="415" t="s">
        <v>347</v>
      </c>
      <c r="B118" s="409">
        <v>2015</v>
      </c>
      <c r="C118" s="410">
        <f>_xlfn.XLOOKUP(A118,INPUT_DATA!$CJ$4:$CJ$397,INPUT_DATA!$CL$4:$CL$397)</f>
        <v>11275188.529999999</v>
      </c>
      <c r="D118" s="795">
        <f>OriginationYear[[#This Row],[Principal Outstanding Balance]]/OriginationYear[[#Totals],[Principal Outstanding Balance]]</f>
        <v>1.6509136649653817E-2</v>
      </c>
      <c r="E118" s="796">
        <f>_xlfn.XLOOKUP(A118,INPUT_DATA!$CJ$4:$CJ$397,INPUT_DATA!$CM$4:$CM$397)</f>
        <v>95</v>
      </c>
      <c r="F118" s="795">
        <f>OriginationYear[[#This Row],[Nb of Loans]]/OriginationYear[[#Totals],[Nb of Loans]]</f>
        <v>2.632308118592408E-2</v>
      </c>
    </row>
    <row r="119" spans="1:8" x14ac:dyDescent="0.25">
      <c r="A119" s="415" t="s">
        <v>348</v>
      </c>
      <c r="B119" s="409">
        <v>2016</v>
      </c>
      <c r="C119" s="410">
        <f>_xlfn.XLOOKUP(A119,INPUT_DATA!$CJ$4:$CJ$397,INPUT_DATA!$CL$4:$CL$397)</f>
        <v>7808234.2399999984</v>
      </c>
      <c r="D119" s="795">
        <f>OriginationYear[[#This Row],[Principal Outstanding Balance]]/OriginationYear[[#Totals],[Principal Outstanding Balance]]</f>
        <v>1.1432820455079859E-2</v>
      </c>
      <c r="E119" s="796">
        <f>_xlfn.XLOOKUP(A119,INPUT_DATA!$CJ$4:$CJ$397,INPUT_DATA!$CM$4:$CM$397)</f>
        <v>68</v>
      </c>
      <c r="F119" s="795">
        <f>OriginationYear[[#This Row],[Nb of Loans]]/OriginationYear[[#Totals],[Nb of Loans]]</f>
        <v>1.8841784427819339E-2</v>
      </c>
    </row>
    <row r="120" spans="1:8" x14ac:dyDescent="0.25">
      <c r="A120" s="415" t="s">
        <v>349</v>
      </c>
      <c r="B120" s="409">
        <v>2017</v>
      </c>
      <c r="C120" s="410">
        <f>_xlfn.XLOOKUP(A120,INPUT_DATA!$CJ$4:$CJ$397,INPUT_DATA!$CL$4:$CL$397)</f>
        <v>39797923.699999996</v>
      </c>
      <c r="D120" s="795">
        <f>OriginationYear[[#This Row],[Principal Outstanding Balance]]/OriginationYear[[#Totals],[Principal Outstanding Balance]]</f>
        <v>5.8272139662022687E-2</v>
      </c>
      <c r="E120" s="796">
        <f>_xlfn.XLOOKUP(A120,INPUT_DATA!$CJ$4:$CJ$397,INPUT_DATA!$CM$4:$CM$397)</f>
        <v>217</v>
      </c>
      <c r="F120" s="795">
        <f>OriginationYear[[#This Row],[Nb of Loans]]/OriginationYear[[#Totals],[Nb of Loans]]</f>
        <v>6.0127459129952897E-2</v>
      </c>
    </row>
    <row r="121" spans="1:8" x14ac:dyDescent="0.25">
      <c r="A121" s="415" t="s">
        <v>350</v>
      </c>
      <c r="B121" s="409">
        <v>2018</v>
      </c>
      <c r="C121" s="410">
        <f>_xlfn.XLOOKUP(A121,INPUT_DATA!$CJ$4:$CJ$397,INPUT_DATA!$CL$4:$CL$397)</f>
        <v>43083389.670000002</v>
      </c>
      <c r="D121" s="795">
        <f>OriginationYear[[#This Row],[Principal Outstanding Balance]]/OriginationYear[[#Totals],[Principal Outstanding Balance]]</f>
        <v>6.308272056824879E-2</v>
      </c>
      <c r="E121" s="796">
        <f>_xlfn.XLOOKUP(A121,INPUT_DATA!$CJ$4:$CJ$397,INPUT_DATA!$CM$4:$CM$397)</f>
        <v>224</v>
      </c>
      <c r="F121" s="795">
        <f>OriginationYear[[#This Row],[Nb of Loans]]/OriginationYear[[#Totals],[Nb of Loans]]</f>
        <v>6.2067054585757828E-2</v>
      </c>
    </row>
    <row r="122" spans="1:8" x14ac:dyDescent="0.25">
      <c r="A122" s="415" t="s">
        <v>929</v>
      </c>
      <c r="B122" s="409">
        <v>2019</v>
      </c>
      <c r="C122" s="410">
        <f>_xlfn.XLOOKUP(A122,INPUT_DATA!$CJ$4:$CJ$397,INPUT_DATA!$CL$4:$CL$397)</f>
        <v>52338292.129999958</v>
      </c>
      <c r="D122" s="411">
        <f>OriginationYear[[#This Row],[Principal Outstanding Balance]]/OriginationYear[[#Totals],[Principal Outstanding Balance]]</f>
        <v>7.6633753350079936E-2</v>
      </c>
      <c r="E122" s="412">
        <f>_xlfn.XLOOKUP(A122,INPUT_DATA!$CJ$4:$CJ$397,INPUT_DATA!$CM$4:$CM$397)</f>
        <v>245</v>
      </c>
      <c r="F122" s="411">
        <f>OriginationYear[[#This Row],[Nb of Loans]]/OriginationYear[[#Totals],[Nb of Loans]]</f>
        <v>6.7885840953172627E-2</v>
      </c>
    </row>
    <row r="123" spans="1:8" x14ac:dyDescent="0.25">
      <c r="A123" s="415" t="s">
        <v>930</v>
      </c>
      <c r="B123" s="409">
        <v>2020</v>
      </c>
      <c r="C123" s="410">
        <f>_xlfn.XLOOKUP(A123,INPUT_DATA!$CJ$4:$CJ$397,INPUT_DATA!$CL$4:$CL$397)</f>
        <v>114250314.20999999</v>
      </c>
      <c r="D123" s="411">
        <f>OriginationYear[[#This Row],[Principal Outstanding Balance]]/OriginationYear[[#Totals],[Principal Outstanding Balance]]</f>
        <v>0.16728536685131379</v>
      </c>
      <c r="E123" s="412">
        <f>_xlfn.XLOOKUP(A123,INPUT_DATA!$CJ$4:$CJ$397,INPUT_DATA!$CM$4:$CM$397)</f>
        <v>384</v>
      </c>
      <c r="F123" s="411">
        <f>OriginationYear[[#This Row],[Nb of Loans]]/OriginationYear[[#Totals],[Nb of Loans]]</f>
        <v>0.10640066500415628</v>
      </c>
    </row>
    <row r="124" spans="1:8" x14ac:dyDescent="0.25">
      <c r="A124" s="415" t="s">
        <v>931</v>
      </c>
      <c r="B124" s="409">
        <v>2021</v>
      </c>
      <c r="C124" s="410">
        <f>_xlfn.XLOOKUP(A124,INPUT_DATA!$CJ$4:$CJ$397,INPUT_DATA!$CL$4:$CL$397)</f>
        <v>97741195.510000035</v>
      </c>
      <c r="D124" s="411">
        <f>OriginationYear[[#This Row],[Principal Outstanding Balance]]/OriginationYear[[#Totals],[Principal Outstanding Balance]]</f>
        <v>0.14311270704536244</v>
      </c>
      <c r="E124" s="412">
        <f>_xlfn.XLOOKUP(A124,INPUT_DATA!$CJ$4:$CJ$397,INPUT_DATA!$CM$4:$CM$397)</f>
        <v>349</v>
      </c>
      <c r="F124" s="411">
        <f>OriginationYear[[#This Row],[Nb of Loans]]/OriginationYear[[#Totals],[Nb of Loans]]</f>
        <v>9.6702687725131617E-2</v>
      </c>
    </row>
    <row r="125" spans="1:8" x14ac:dyDescent="0.25">
      <c r="A125" s="415" t="s">
        <v>932</v>
      </c>
      <c r="B125" s="409">
        <v>2022</v>
      </c>
      <c r="C125" s="410">
        <f>_xlfn.XLOOKUP(A125,INPUT_DATA!$CJ$4:$CJ$397,INPUT_DATA!$CL$4:$CL$397)</f>
        <v>155243564.40000001</v>
      </c>
      <c r="D125" s="411">
        <f>OriginationYear[[#This Row],[Principal Outstanding Balance]]/OriginationYear[[#Totals],[Principal Outstanding Balance]]</f>
        <v>0.22730770415409923</v>
      </c>
      <c r="E125" s="412">
        <f>_xlfn.XLOOKUP(A125,INPUT_DATA!$CJ$4:$CJ$397,INPUT_DATA!$CM$4:$CM$397)</f>
        <v>400</v>
      </c>
      <c r="F125" s="411">
        <f>OriginationYear[[#This Row],[Nb of Loans]]/OriginationYear[[#Totals],[Nb of Loans]]</f>
        <v>0.11083402604599613</v>
      </c>
    </row>
    <row r="126" spans="1:8" x14ac:dyDescent="0.25">
      <c r="A126" s="415" t="s">
        <v>933</v>
      </c>
      <c r="B126" s="409">
        <v>2023</v>
      </c>
      <c r="C126" s="410">
        <f>_xlfn.XLOOKUP(A126,INPUT_DATA!$CJ$4:$CJ$397,INPUT_DATA!$CL$4:$CL$397)</f>
        <v>77912163.020000085</v>
      </c>
      <c r="D126" s="411">
        <f>OriginationYear[[#This Row],[Principal Outstanding Balance]]/OriginationYear[[#Totals],[Principal Outstanding Balance]]</f>
        <v>0.11407902781801968</v>
      </c>
      <c r="E126" s="412">
        <f>_xlfn.XLOOKUP(A126,INPUT_DATA!$CJ$4:$CJ$397,INPUT_DATA!$CM$4:$CM$397)</f>
        <v>223</v>
      </c>
      <c r="F126" s="411">
        <f>OriginationYear[[#This Row],[Nb of Loans]]/OriginationYear[[#Totals],[Nb of Loans]]</f>
        <v>6.1789969520642835E-2</v>
      </c>
    </row>
    <row r="127" spans="1:8" x14ac:dyDescent="0.25">
      <c r="A127" s="414"/>
      <c r="B127" s="705" t="s">
        <v>2</v>
      </c>
      <c r="C127" s="792">
        <f>SUBTOTAL(109,OriginationYear[Principal Outstanding Balance])</f>
        <v>682966575.98000014</v>
      </c>
      <c r="D127" s="793">
        <f>SUBTOTAL(109,OriginationYear[% of Total (Amount)])</f>
        <v>0.99999999999999978</v>
      </c>
      <c r="E127" s="794">
        <f>SUBTOTAL(109,OriginationYear[Nb of Loans])</f>
        <v>3609</v>
      </c>
      <c r="F127" s="793">
        <f>SUBTOTAL(109,OriginationYear[% of Total (Number)])</f>
        <v>0.99999999999999989</v>
      </c>
    </row>
    <row r="128" spans="1:8" x14ac:dyDescent="0.25">
      <c r="A128" s="414"/>
      <c r="B128" s="409"/>
      <c r="C128" s="410"/>
      <c r="D128" s="411"/>
      <c r="E128" s="412"/>
      <c r="F128" s="411"/>
      <c r="H128" s="474" t="s">
        <v>654</v>
      </c>
    </row>
    <row r="129" spans="1:8" x14ac:dyDescent="0.25">
      <c r="A129" s="414"/>
      <c r="B129" s="407" t="s">
        <v>1375</v>
      </c>
      <c r="C129" s="407"/>
    </row>
    <row r="130" spans="1:8" ht="15" customHeight="1" x14ac:dyDescent="0.25">
      <c r="A130" s="414"/>
      <c r="B130" s="407"/>
      <c r="C130" s="407"/>
    </row>
    <row r="131" spans="1:8" ht="33" customHeight="1" x14ac:dyDescent="0.25">
      <c r="A131" s="414"/>
      <c r="B131" s="397" t="s">
        <v>334</v>
      </c>
      <c r="C131" s="397" t="s">
        <v>257</v>
      </c>
      <c r="D131" s="397" t="s">
        <v>289</v>
      </c>
      <c r="E131" s="397" t="s">
        <v>290</v>
      </c>
      <c r="F131" s="397" t="s">
        <v>291</v>
      </c>
    </row>
    <row r="132" spans="1:8" x14ac:dyDescent="0.25">
      <c r="A132" s="414" t="s">
        <v>352</v>
      </c>
      <c r="B132" s="705" t="s">
        <v>1256</v>
      </c>
      <c r="C132" s="410">
        <f>_xlfn.XLOOKUP(A132,INPUT_DATA!$CJ$4:$CJ$397,INPUT_DATA!$CL$4:$CL$397)</f>
        <v>277705269.55999994</v>
      </c>
      <c r="D132" s="411">
        <f>InterestRate[[#This Row],[Principal Outstanding Balance]]/InterestRate[[#Totals],[Principal Outstanding Balance]]</f>
        <v>0.40661619371565288</v>
      </c>
      <c r="E132" s="412">
        <f>_xlfn.XLOOKUP(A132,INPUT_DATA!$CJ$4:$CJ$397,INPUT_DATA!$CM$4:$CM$397)</f>
        <v>1195</v>
      </c>
      <c r="F132" s="411">
        <f>InterestRate[[#This Row],[Nb of Loans]]/InterestRate[[#Totals],[Nb of Loans]]</f>
        <v>0.33111665281241343</v>
      </c>
    </row>
    <row r="133" spans="1:8" x14ac:dyDescent="0.25">
      <c r="A133" s="414" t="s">
        <v>354</v>
      </c>
      <c r="B133" s="705" t="s">
        <v>935</v>
      </c>
      <c r="C133" s="410">
        <f>_xlfn.XLOOKUP(A133,INPUT_DATA!$CJ$4:$CJ$397,INPUT_DATA!$CL$4:$CL$397)</f>
        <v>292108163.79000032</v>
      </c>
      <c r="D133" s="411">
        <f>InterestRate[[#This Row],[Principal Outstanding Balance]]/InterestRate[[#Totals],[Principal Outstanding Balance]]</f>
        <v>0.42770491860578885</v>
      </c>
      <c r="E133" s="412">
        <f>_xlfn.XLOOKUP(A133,INPUT_DATA!$CJ$4:$CJ$397,INPUT_DATA!$CM$4:$CM$397)</f>
        <v>1434</v>
      </c>
      <c r="F133" s="411">
        <f>InterestRate[[#This Row],[Nb of Loans]]/InterestRate[[#Totals],[Nb of Loans]]</f>
        <v>0.39733998337489607</v>
      </c>
    </row>
    <row r="134" spans="1:8" x14ac:dyDescent="0.25">
      <c r="A134" s="414" t="s">
        <v>356</v>
      </c>
      <c r="B134" s="705" t="s">
        <v>936</v>
      </c>
      <c r="C134" s="410">
        <f>_xlfn.XLOOKUP(A134,INPUT_DATA!$CJ$4:$CJ$397,INPUT_DATA!$CL$4:$CL$397)</f>
        <v>54951861.109999977</v>
      </c>
      <c r="D134" s="411">
        <f>InterestRate[[#This Row],[Principal Outstanding Balance]]/InterestRate[[#Totals],[Principal Outstanding Balance]]</f>
        <v>8.046054234959979E-2</v>
      </c>
      <c r="E134" s="412">
        <f>_xlfn.XLOOKUP(A134,INPUT_DATA!$CJ$4:$CJ$397,INPUT_DATA!$CM$4:$CM$397)</f>
        <v>286</v>
      </c>
      <c r="F134" s="411">
        <f>InterestRate[[#This Row],[Nb of Loans]]/InterestRate[[#Totals],[Nb of Loans]]</f>
        <v>7.9246328622887233E-2</v>
      </c>
    </row>
    <row r="135" spans="1:8" x14ac:dyDescent="0.25">
      <c r="A135" s="414" t="s">
        <v>358</v>
      </c>
      <c r="B135" s="705" t="s">
        <v>937</v>
      </c>
      <c r="C135" s="410">
        <f>_xlfn.XLOOKUP(A135,INPUT_DATA!$CJ$4:$CJ$397,INPUT_DATA!$CL$4:$CL$397)</f>
        <v>37548604.480000049</v>
      </c>
      <c r="D135" s="411">
        <f>InterestRate[[#This Row],[Principal Outstanding Balance]]/InterestRate[[#Totals],[Principal Outstanding Balance]]</f>
        <v>5.497868534213541E-2</v>
      </c>
      <c r="E135" s="412">
        <f>_xlfn.XLOOKUP(A135,INPUT_DATA!$CJ$4:$CJ$397,INPUT_DATA!$CM$4:$CM$397)</f>
        <v>318</v>
      </c>
      <c r="F135" s="411">
        <f>InterestRate[[#This Row],[Nb of Loans]]/InterestRate[[#Totals],[Nb of Loans]]</f>
        <v>8.8113050706566914E-2</v>
      </c>
    </row>
    <row r="136" spans="1:8" x14ac:dyDescent="0.25">
      <c r="A136" s="414" t="s">
        <v>360</v>
      </c>
      <c r="B136" s="705" t="s">
        <v>938</v>
      </c>
      <c r="C136" s="410">
        <f>_xlfn.XLOOKUP(A136,INPUT_DATA!$CJ$4:$CJ$397,INPUT_DATA!$CL$4:$CL$397)</f>
        <v>19591183.43</v>
      </c>
      <c r="D136" s="411">
        <f>InterestRate[[#This Row],[Principal Outstanding Balance]]/InterestRate[[#Totals],[Principal Outstanding Balance]]</f>
        <v>2.8685420515474392E-2</v>
      </c>
      <c r="E136" s="412">
        <f>_xlfn.XLOOKUP(A136,INPUT_DATA!$CJ$4:$CJ$397,INPUT_DATA!$CM$4:$CM$397)</f>
        <v>350</v>
      </c>
      <c r="F136" s="411">
        <f>InterestRate[[#This Row],[Nb of Loans]]/InterestRate[[#Totals],[Nb of Loans]]</f>
        <v>9.697977279024661E-2</v>
      </c>
    </row>
    <row r="137" spans="1:8" x14ac:dyDescent="0.25">
      <c r="A137" s="414" t="s">
        <v>362</v>
      </c>
      <c r="B137" s="705" t="s">
        <v>1257</v>
      </c>
      <c r="C137" s="410">
        <f>_xlfn.XLOOKUP(A137,INPUT_DATA!$CJ$4:$CJ$397,INPUT_DATA!$CL$4:$CL$397)</f>
        <v>1061493.6099999999</v>
      </c>
      <c r="D137" s="411">
        <f>InterestRate[[#This Row],[Principal Outstanding Balance]]/InterestRate[[#Totals],[Principal Outstanding Balance]]</f>
        <v>1.5542394713487183E-3</v>
      </c>
      <c r="E137" s="412">
        <f>_xlfn.XLOOKUP(A137,INPUT_DATA!$CJ$4:$CJ$397,INPUT_DATA!$CM$4:$CM$397)</f>
        <v>26</v>
      </c>
      <c r="F137" s="411">
        <f>InterestRate[[#This Row],[Nb of Loans]]/InterestRate[[#Totals],[Nb of Loans]]</f>
        <v>7.2042116929897475E-3</v>
      </c>
    </row>
    <row r="138" spans="1:8" x14ac:dyDescent="0.25">
      <c r="A138" s="414"/>
      <c r="B138" s="705" t="s">
        <v>2</v>
      </c>
      <c r="C138" s="792">
        <f>SUBTOTAL(109,InterestRate[Principal Outstanding Balance])</f>
        <v>682966575.98000026</v>
      </c>
      <c r="D138" s="793">
        <f>SUBTOTAL(109,InterestRate[% of Total (Amount)])</f>
        <v>1.0000000000000002</v>
      </c>
      <c r="E138" s="794">
        <f>SUBTOTAL(109,InterestRate[Nb of Loans])</f>
        <v>3609</v>
      </c>
      <c r="F138" s="793">
        <f>SUBTOTAL(109,InterestRate[% of Total (Number)])</f>
        <v>1</v>
      </c>
    </row>
    <row r="139" spans="1:8" x14ac:dyDescent="0.25">
      <c r="A139" s="414"/>
      <c r="B139" s="409"/>
      <c r="C139" s="410"/>
      <c r="D139" s="411"/>
      <c r="E139" s="412"/>
      <c r="F139" s="411"/>
      <c r="H139" s="474" t="s">
        <v>654</v>
      </c>
    </row>
    <row r="140" spans="1:8" x14ac:dyDescent="0.25">
      <c r="A140" s="414"/>
      <c r="B140" s="407" t="s">
        <v>1376</v>
      </c>
      <c r="C140" s="407"/>
    </row>
    <row r="141" spans="1:8" ht="15" customHeight="1" x14ac:dyDescent="0.25">
      <c r="A141" s="414"/>
      <c r="B141" s="407"/>
      <c r="C141" s="407"/>
    </row>
    <row r="142" spans="1:8" ht="33" customHeight="1" x14ac:dyDescent="0.25">
      <c r="A142" s="414"/>
      <c r="B142" s="397" t="s">
        <v>351</v>
      </c>
      <c r="C142" s="397" t="s">
        <v>257</v>
      </c>
      <c r="D142" s="397" t="s">
        <v>289</v>
      </c>
      <c r="E142" s="397" t="s">
        <v>290</v>
      </c>
      <c r="F142" s="397" t="s">
        <v>291</v>
      </c>
      <c r="G142" s="408"/>
    </row>
    <row r="143" spans="1:8" x14ac:dyDescent="0.25">
      <c r="A143" s="414" t="s">
        <v>372</v>
      </c>
      <c r="B143" s="409" t="s">
        <v>353</v>
      </c>
      <c r="C143" s="410">
        <f>_xlfn.XLOOKUP(A143,INPUT_DATA!$CJ$4:$CJ$397,INPUT_DATA!$CL$4:$CL$397)</f>
        <v>441770.13000000006</v>
      </c>
      <c r="D143" s="411">
        <f>InterestRateType[[#This Row],[Principal Outstanding Balance]]/InterestRateType[[#Totals],[Principal Outstanding Balance]]</f>
        <v>6.4684004391590865E-4</v>
      </c>
      <c r="E143" s="412">
        <f>_xlfn.XLOOKUP(A143,INPUT_DATA!$CJ$4:$CJ$397,INPUT_DATA!$CM$4:$CM$397)</f>
        <v>35</v>
      </c>
      <c r="F143" s="411">
        <f>InterestRateType[[#This Row],[Nb of Loans]]/InterestRateType[[#Totals],[Nb of Loans]]</f>
        <v>9.697977279024661E-3</v>
      </c>
    </row>
    <row r="144" spans="1:8" ht="30" x14ac:dyDescent="0.25">
      <c r="A144" s="414" t="s">
        <v>374</v>
      </c>
      <c r="B144" s="409" t="s">
        <v>355</v>
      </c>
      <c r="C144" s="410">
        <f>_xlfn.XLOOKUP(A144,INPUT_DATA!$CJ$4:$CJ$397,INPUT_DATA!$CL$4:$CL$397)</f>
        <v>0</v>
      </c>
      <c r="D144" s="411">
        <f>InterestRateType[[#This Row],[Principal Outstanding Balance]]/InterestRateType[[#Totals],[Principal Outstanding Balance]]</f>
        <v>0</v>
      </c>
      <c r="E144" s="412">
        <f>_xlfn.XLOOKUP(A144,INPUT_DATA!$CJ$4:$CJ$397,INPUT_DATA!$CM$4:$CM$397)</f>
        <v>0</v>
      </c>
      <c r="F144" s="411">
        <f>InterestRateType[[#This Row],[Nb of Loans]]/InterestRateType[[#Totals],[Nb of Loans]]</f>
        <v>0</v>
      </c>
    </row>
    <row r="145" spans="1:8" x14ac:dyDescent="0.25">
      <c r="A145" s="414" t="s">
        <v>376</v>
      </c>
      <c r="B145" s="409" t="s">
        <v>357</v>
      </c>
      <c r="C145" s="410">
        <f>_xlfn.XLOOKUP(A145,INPUT_DATA!$CJ$4:$CJ$397,INPUT_DATA!$CL$4:$CL$397)</f>
        <v>665567985.53999865</v>
      </c>
      <c r="D145" s="411">
        <f>InterestRateType[[#This Row],[Principal Outstanding Balance]]/InterestRateType[[#Totals],[Principal Outstanding Balance]]</f>
        <v>0.97452497523025272</v>
      </c>
      <c r="E145" s="412">
        <f>_xlfn.XLOOKUP(A145,INPUT_DATA!$CJ$4:$CJ$397,INPUT_DATA!$CM$4:$CM$397)</f>
        <v>3320</v>
      </c>
      <c r="F145" s="411">
        <f>InterestRateType[[#This Row],[Nb of Loans]]/InterestRateType[[#Totals],[Nb of Loans]]</f>
        <v>0.91992241618176784</v>
      </c>
    </row>
    <row r="146" spans="1:8" x14ac:dyDescent="0.25">
      <c r="A146" s="414" t="s">
        <v>378</v>
      </c>
      <c r="B146" s="409" t="s">
        <v>359</v>
      </c>
      <c r="C146" s="410">
        <f>_xlfn.XLOOKUP(A146,INPUT_DATA!$CJ$4:$CJ$397,INPUT_DATA!$CL$4:$CL$397)</f>
        <v>0</v>
      </c>
      <c r="D146" s="411">
        <f>InterestRateType[[#This Row],[Principal Outstanding Balance]]/InterestRateType[[#Totals],[Principal Outstanding Balance]]</f>
        <v>0</v>
      </c>
      <c r="E146" s="412">
        <f>_xlfn.XLOOKUP(A146,INPUT_DATA!$CJ$4:$CJ$397,INPUT_DATA!$CM$4:$CM$397)</f>
        <v>0</v>
      </c>
      <c r="F146" s="411">
        <f>InterestRateType[[#This Row],[Nb of Loans]]/InterestRateType[[#Totals],[Nb of Loans]]</f>
        <v>0</v>
      </c>
    </row>
    <row r="147" spans="1:8" ht="15" customHeight="1" x14ac:dyDescent="0.25">
      <c r="A147" s="414" t="s">
        <v>380</v>
      </c>
      <c r="B147" s="409" t="s">
        <v>361</v>
      </c>
      <c r="C147" s="410">
        <f>_xlfn.XLOOKUP(A147,INPUT_DATA!$CJ$4:$CJ$397,INPUT_DATA!$CL$4:$CL$397)</f>
        <v>0</v>
      </c>
      <c r="D147" s="411">
        <f>InterestRateType[[#This Row],[Principal Outstanding Balance]]/InterestRateType[[#Totals],[Principal Outstanding Balance]]</f>
        <v>0</v>
      </c>
      <c r="E147" s="412">
        <f>_xlfn.XLOOKUP(A147,INPUT_DATA!$CJ$4:$CJ$397,INPUT_DATA!$CM$4:$CM$397)</f>
        <v>0</v>
      </c>
      <c r="F147" s="411">
        <f>InterestRateType[[#This Row],[Nb of Loans]]/InterestRateType[[#Totals],[Nb of Loans]]</f>
        <v>0</v>
      </c>
    </row>
    <row r="148" spans="1:8" x14ac:dyDescent="0.25">
      <c r="A148" s="414" t="s">
        <v>382</v>
      </c>
      <c r="B148" s="409" t="s">
        <v>363</v>
      </c>
      <c r="C148" s="410">
        <f>_xlfn.XLOOKUP(A148,INPUT_DATA!$CJ$4:$CJ$397,INPUT_DATA!$CL$4:$CL$397)</f>
        <v>0</v>
      </c>
      <c r="D148" s="411">
        <f>InterestRateType[[#This Row],[Principal Outstanding Balance]]/InterestRateType[[#Totals],[Principal Outstanding Balance]]</f>
        <v>0</v>
      </c>
      <c r="E148" s="412">
        <f>_xlfn.XLOOKUP(A148,INPUT_DATA!$CJ$4:$CJ$397,INPUT_DATA!$CM$4:$CM$397)</f>
        <v>0</v>
      </c>
      <c r="F148" s="411">
        <f>InterestRateType[[#This Row],[Nb of Loans]]/InterestRateType[[#Totals],[Nb of Loans]]</f>
        <v>0</v>
      </c>
    </row>
    <row r="149" spans="1:8" x14ac:dyDescent="0.25">
      <c r="A149" s="414" t="s">
        <v>384</v>
      </c>
      <c r="B149" s="409" t="s">
        <v>364</v>
      </c>
      <c r="C149" s="410">
        <f>_xlfn.XLOOKUP(A149,INPUT_DATA!$CJ$4:$CJ$397,INPUT_DATA!$CL$4:$CL$397)</f>
        <v>16956820.309999995</v>
      </c>
      <c r="D149" s="411">
        <f>InterestRateType[[#This Row],[Principal Outstanding Balance]]/InterestRateType[[#Totals],[Principal Outstanding Balance]]</f>
        <v>2.4828184725831436E-2</v>
      </c>
      <c r="E149" s="412">
        <f>_xlfn.XLOOKUP(A149,INPUT_DATA!$CJ$4:$CJ$397,INPUT_DATA!$CM$4:$CM$397)</f>
        <v>254</v>
      </c>
      <c r="F149" s="411">
        <f>InterestRateType[[#This Row],[Nb of Loans]]/InterestRateType[[#Totals],[Nb of Loans]]</f>
        <v>7.0379606539207537E-2</v>
      </c>
    </row>
    <row r="150" spans="1:8" x14ac:dyDescent="0.25">
      <c r="A150" s="414" t="s">
        <v>386</v>
      </c>
      <c r="B150" s="409" t="s">
        <v>365</v>
      </c>
      <c r="C150" s="410">
        <f>_xlfn.XLOOKUP(A150,INPUT_DATA!$CJ$4:$CJ$397,INPUT_DATA!$CL$4:$CL$397)</f>
        <v>0</v>
      </c>
      <c r="D150" s="411">
        <f>InterestRateType[[#This Row],[Principal Outstanding Balance]]/InterestRateType[[#Totals],[Principal Outstanding Balance]]</f>
        <v>0</v>
      </c>
      <c r="E150" s="412">
        <f>_xlfn.XLOOKUP(A150,INPUT_DATA!$CJ$4:$CJ$397,INPUT_DATA!$CM$4:$CM$397)</f>
        <v>0</v>
      </c>
      <c r="F150" s="411">
        <f>InterestRateType[[#This Row],[Nb of Loans]]/InterestRateType[[#Totals],[Nb of Loans]]</f>
        <v>0</v>
      </c>
    </row>
    <row r="151" spans="1:8" x14ac:dyDescent="0.25">
      <c r="A151" s="414" t="s">
        <v>388</v>
      </c>
      <c r="B151" s="409" t="s">
        <v>366</v>
      </c>
      <c r="C151" s="410">
        <f>_xlfn.XLOOKUP(A151,INPUT_DATA!$CJ$4:$CJ$397,INPUT_DATA!$CL$4:$CL$397)</f>
        <v>0</v>
      </c>
      <c r="D151" s="411">
        <f>InterestRateType[[#This Row],[Principal Outstanding Balance]]/InterestRateType[[#Totals],[Principal Outstanding Balance]]</f>
        <v>0</v>
      </c>
      <c r="E151" s="412">
        <f>_xlfn.XLOOKUP(A151,INPUT_DATA!$CJ$4:$CJ$397,INPUT_DATA!$CM$4:$CM$397)</f>
        <v>0</v>
      </c>
      <c r="F151" s="411">
        <f>InterestRateType[[#This Row],[Nb of Loans]]/InterestRateType[[#Totals],[Nb of Loans]]</f>
        <v>0</v>
      </c>
    </row>
    <row r="152" spans="1:8" x14ac:dyDescent="0.25">
      <c r="A152" s="414" t="s">
        <v>390</v>
      </c>
      <c r="B152" s="409" t="s">
        <v>367</v>
      </c>
      <c r="C152" s="410">
        <f>_xlfn.XLOOKUP(A152,INPUT_DATA!$CJ$4:$CJ$397,INPUT_DATA!$CL$4:$CL$397)</f>
        <v>0</v>
      </c>
      <c r="D152" s="411">
        <f>InterestRateType[[#This Row],[Principal Outstanding Balance]]/InterestRateType[[#Totals],[Principal Outstanding Balance]]</f>
        <v>0</v>
      </c>
      <c r="E152" s="412">
        <f>_xlfn.XLOOKUP(A152,INPUT_DATA!$CJ$4:$CJ$397,INPUT_DATA!$CM$4:$CM$397)</f>
        <v>0</v>
      </c>
      <c r="F152" s="411">
        <f>InterestRateType[[#This Row],[Nb of Loans]]/InterestRateType[[#Totals],[Nb of Loans]]</f>
        <v>0</v>
      </c>
    </row>
    <row r="153" spans="1:8" x14ac:dyDescent="0.25">
      <c r="A153" s="414" t="s">
        <v>392</v>
      </c>
      <c r="B153" s="409" t="s">
        <v>368</v>
      </c>
      <c r="C153" s="410">
        <f>_xlfn.XLOOKUP(A153,INPUT_DATA!$CJ$4:$CJ$397,INPUT_DATA!$CL$4:$CL$397)</f>
        <v>0</v>
      </c>
      <c r="D153" s="411">
        <f>InterestRateType[[#This Row],[Principal Outstanding Balance]]/InterestRateType[[#Totals],[Principal Outstanding Balance]]</f>
        <v>0</v>
      </c>
      <c r="E153" s="412">
        <f>_xlfn.XLOOKUP(A153,INPUT_DATA!$CJ$4:$CJ$397,INPUT_DATA!$CM$4:$CM$397)</f>
        <v>0</v>
      </c>
      <c r="F153" s="411">
        <f>InterestRateType[[#This Row],[Nb of Loans]]/InterestRateType[[#Totals],[Nb of Loans]]</f>
        <v>0</v>
      </c>
    </row>
    <row r="154" spans="1:8" x14ac:dyDescent="0.25">
      <c r="A154" s="414" t="s">
        <v>393</v>
      </c>
      <c r="B154" s="409" t="s">
        <v>369</v>
      </c>
      <c r="C154" s="410">
        <f>_xlfn.XLOOKUP(A154,INPUT_DATA!$CJ$4:$CJ$397,INPUT_DATA!$CL$4:$CL$397)</f>
        <v>0</v>
      </c>
      <c r="D154" s="411">
        <f>InterestRateType[[#This Row],[Principal Outstanding Balance]]/InterestRateType[[#Totals],[Principal Outstanding Balance]]</f>
        <v>0</v>
      </c>
      <c r="E154" s="412">
        <f>_xlfn.XLOOKUP(A154,INPUT_DATA!$CJ$4:$CJ$397,INPUT_DATA!$CM$4:$CM$397)</f>
        <v>0</v>
      </c>
      <c r="F154" s="411">
        <f>InterestRateType[[#This Row],[Nb of Loans]]/InterestRateType[[#Totals],[Nb of Loans]]</f>
        <v>0</v>
      </c>
    </row>
    <row r="155" spans="1:8" x14ac:dyDescent="0.25">
      <c r="A155" s="414" t="s">
        <v>394</v>
      </c>
      <c r="B155" s="409" t="s">
        <v>370</v>
      </c>
      <c r="C155" s="410">
        <f>_xlfn.XLOOKUP(A155,INPUT_DATA!$CJ$4:$CJ$397,INPUT_DATA!$CL$4:$CL$397)</f>
        <v>0</v>
      </c>
      <c r="D155" s="411">
        <f>InterestRateType[[#This Row],[Principal Outstanding Balance]]/InterestRateType[[#Totals],[Principal Outstanding Balance]]</f>
        <v>0</v>
      </c>
      <c r="E155" s="412">
        <f>_xlfn.XLOOKUP(A155,INPUT_DATA!$CJ$4:$CJ$397,INPUT_DATA!$CM$4:$CM$397)</f>
        <v>0</v>
      </c>
      <c r="F155" s="411">
        <f>InterestRateType[[#This Row],[Nb of Loans]]/InterestRateType[[#Totals],[Nb of Loans]]</f>
        <v>0</v>
      </c>
    </row>
    <row r="156" spans="1:8" x14ac:dyDescent="0.25">
      <c r="A156" s="414"/>
      <c r="B156" s="705" t="s">
        <v>2</v>
      </c>
      <c r="C156" s="792">
        <f>SUBTOTAL(109,InterestRateType[Principal Outstanding Balance])</f>
        <v>682966575.97999859</v>
      </c>
      <c r="D156" s="793">
        <f>SUBTOTAL(109,InterestRateType[% of Total (Amount)])</f>
        <v>1</v>
      </c>
      <c r="E156" s="794">
        <f>SUBTOTAL(109,InterestRateType[Nb of Loans])</f>
        <v>3609</v>
      </c>
      <c r="F156" s="793">
        <f>SUBTOTAL(109,InterestRateType[% of Total (Number)])</f>
        <v>1</v>
      </c>
    </row>
    <row r="157" spans="1:8" x14ac:dyDescent="0.25">
      <c r="A157" s="414"/>
      <c r="B157" s="409"/>
      <c r="C157" s="410"/>
      <c r="D157" s="411"/>
      <c r="E157" s="412"/>
      <c r="F157" s="411"/>
      <c r="H157" s="474" t="s">
        <v>654</v>
      </c>
    </row>
    <row r="158" spans="1:8" x14ac:dyDescent="0.25">
      <c r="A158" s="414"/>
      <c r="B158" s="407" t="s">
        <v>1258</v>
      </c>
      <c r="C158" s="407"/>
    </row>
    <row r="159" spans="1:8" ht="15" customHeight="1" x14ac:dyDescent="0.25">
      <c r="A159" s="414"/>
      <c r="B159" s="407"/>
      <c r="C159" s="407"/>
    </row>
    <row r="160" spans="1:8" ht="33" customHeight="1" x14ac:dyDescent="0.25">
      <c r="A160" s="414"/>
      <c r="B160" s="397" t="s">
        <v>524</v>
      </c>
      <c r="C160" s="397" t="s">
        <v>257</v>
      </c>
      <c r="D160" s="397" t="s">
        <v>289</v>
      </c>
      <c r="E160" s="397" t="s">
        <v>290</v>
      </c>
      <c r="F160" s="397" t="s">
        <v>291</v>
      </c>
      <c r="G160" s="408"/>
    </row>
    <row r="161" spans="1:8" x14ac:dyDescent="0.25">
      <c r="A161" s="414" t="s">
        <v>395</v>
      </c>
      <c r="B161" s="409" t="s">
        <v>526</v>
      </c>
      <c r="C161" s="410">
        <f>_xlfn.XLOOKUP(A161,INPUT_DATA!$CJ$4:$CJ$397,INPUT_DATA!$CL$4:$CL$397)</f>
        <v>66770214.280000038</v>
      </c>
      <c r="D161" s="411">
        <f>GuaranteeProvider30[[#This Row],[Principal Outstanding Balance]]/GuaranteeProvider30[[#Totals],[Principal Outstanding Balance]]</f>
        <v>9.7764980935107049E-2</v>
      </c>
      <c r="E161" s="412">
        <f>_xlfn.XLOOKUP(A161,INPUT_DATA!$CJ$4:$CJ$397,INPUT_DATA!$CM$4:$CM$397)</f>
        <v>679</v>
      </c>
      <c r="F161" s="411">
        <f>GuaranteeProvider30[[#This Row],[Nb of Loans]]/GuaranteeProvider30[[#Totals],[Nb of Loans]]</f>
        <v>0.18814075921307841</v>
      </c>
    </row>
    <row r="162" spans="1:8" x14ac:dyDescent="0.25">
      <c r="A162" s="414" t="s">
        <v>396</v>
      </c>
      <c r="B162" s="409" t="s">
        <v>527</v>
      </c>
      <c r="C162" s="410">
        <f>_xlfn.XLOOKUP(A162,INPUT_DATA!$CJ$4:$CJ$397,INPUT_DATA!$CL$4:$CL$397)</f>
        <v>490688274.62999994</v>
      </c>
      <c r="D162" s="411">
        <f>GuaranteeProvider30[[#This Row],[Principal Outstanding Balance]]/GuaranteeProvider30[[#Totals],[Principal Outstanding Balance]]</f>
        <v>0.71846601559659518</v>
      </c>
      <c r="E162" s="412">
        <f>_xlfn.XLOOKUP(A162,INPUT_DATA!$CJ$4:$CJ$397,INPUT_DATA!$CM$4:$CM$397)</f>
        <v>1638</v>
      </c>
      <c r="F162" s="411">
        <f>GuaranteeProvider30[[#This Row],[Nb of Loans]]/GuaranteeProvider30[[#Totals],[Nb of Loans]]</f>
        <v>0.4538653366583541</v>
      </c>
    </row>
    <row r="163" spans="1:8" x14ac:dyDescent="0.25">
      <c r="A163" s="414" t="s">
        <v>397</v>
      </c>
      <c r="B163" s="409" t="s">
        <v>1477</v>
      </c>
      <c r="C163" s="410">
        <f>_xlfn.XLOOKUP(A163,INPUT_DATA!$CJ$4:$CJ$397,INPUT_DATA!$CL$4:$CL$397)</f>
        <v>97669672.810000017</v>
      </c>
      <c r="D163" s="411">
        <f>GuaranteeProvider30[[#This Row],[Principal Outstanding Balance]]/GuaranteeProvider30[[#Totals],[Principal Outstanding Balance]]</f>
        <v>0.14300798347247404</v>
      </c>
      <c r="E163" s="412">
        <f>_xlfn.XLOOKUP(A163,INPUT_DATA!$CJ$4:$CJ$397,INPUT_DATA!$CM$4:$CM$397)</f>
        <v>885</v>
      </c>
      <c r="F163" s="411">
        <f>GuaranteeProvider30[[#This Row],[Nb of Loans]]/GuaranteeProvider30[[#Totals],[Nb of Loans]]</f>
        <v>0.24522028262676643</v>
      </c>
    </row>
    <row r="164" spans="1:8" x14ac:dyDescent="0.25">
      <c r="A164" s="414" t="s">
        <v>398</v>
      </c>
      <c r="B164" s="409" t="s">
        <v>525</v>
      </c>
      <c r="C164" s="410">
        <f>_xlfn.XLOOKUP(A164,INPUT_DATA!$CJ$4:$CJ$397,INPUT_DATA!$CL$4:$CL$397)</f>
        <v>27838414.260000002</v>
      </c>
      <c r="D164" s="411">
        <f>GuaranteeProvider30[[#This Row],[Principal Outstanding Balance]]/GuaranteeProvider30[[#Totals],[Principal Outstanding Balance]]</f>
        <v>4.0761019995823662E-2</v>
      </c>
      <c r="E164" s="412">
        <f>_xlfn.XLOOKUP(A164,INPUT_DATA!$CJ$4:$CJ$397,INPUT_DATA!$CM$4:$CM$397)</f>
        <v>407</v>
      </c>
      <c r="F164" s="411">
        <f>GuaranteeProvider30[[#This Row],[Nb of Loans]]/GuaranteeProvider30[[#Totals],[Nb of Loans]]</f>
        <v>0.11277362150180105</v>
      </c>
    </row>
    <row r="165" spans="1:8" x14ac:dyDescent="0.25">
      <c r="A165" s="414"/>
      <c r="B165" s="705" t="s">
        <v>2</v>
      </c>
      <c r="C165" s="792">
        <f>SUBTOTAL(109,GuaranteeProvider30[Principal Outstanding Balance])</f>
        <v>682966575.98000002</v>
      </c>
      <c r="D165" s="890">
        <f>SUBTOTAL(109,GuaranteeProvider30[% of Total (Amount)])</f>
        <v>1</v>
      </c>
      <c r="E165" s="891">
        <f>SUBTOTAL(109,GuaranteeProvider30[Nb of Loans])</f>
        <v>3609</v>
      </c>
      <c r="F165" s="890">
        <f>SUBTOTAL(109,GuaranteeProvider30[% of Total (Number)])</f>
        <v>1</v>
      </c>
    </row>
    <row r="166" spans="1:8" x14ac:dyDescent="0.25">
      <c r="A166" s="414"/>
      <c r="B166" s="409"/>
      <c r="C166" s="410"/>
      <c r="D166" s="411"/>
      <c r="E166" s="412"/>
      <c r="F166" s="411"/>
      <c r="H166" s="474" t="s">
        <v>654</v>
      </c>
    </row>
    <row r="167" spans="1:8" x14ac:dyDescent="0.25">
      <c r="A167" s="414"/>
      <c r="B167" s="407" t="s">
        <v>1259</v>
      </c>
      <c r="C167" s="407"/>
    </row>
    <row r="168" spans="1:8" ht="15" customHeight="1" x14ac:dyDescent="0.25">
      <c r="A168" s="414"/>
      <c r="B168" s="407"/>
      <c r="C168" s="407"/>
    </row>
    <row r="169" spans="1:8" ht="33" customHeight="1" x14ac:dyDescent="0.25">
      <c r="A169" s="414"/>
      <c r="B169" s="397" t="s">
        <v>410</v>
      </c>
      <c r="C169" s="397" t="s">
        <v>257</v>
      </c>
      <c r="D169" s="397" t="s">
        <v>289</v>
      </c>
      <c r="E169" s="397" t="s">
        <v>290</v>
      </c>
      <c r="F169" s="397" t="s">
        <v>291</v>
      </c>
      <c r="G169" s="408"/>
    </row>
    <row r="170" spans="1:8" x14ac:dyDescent="0.25">
      <c r="A170" s="414" t="s">
        <v>399</v>
      </c>
      <c r="B170" s="705" t="s">
        <v>373</v>
      </c>
      <c r="C170" s="410">
        <f>_xlfn.XLOOKUP(A170,INPUT_DATA!$CJ$4:$CJ$397,INPUT_DATA!$CL$4:$CL$397)</f>
        <v>11604091.060000006</v>
      </c>
      <c r="D170" s="411">
        <f>OriginalLoanToValue173132[[#This Row],[Principal Outstanding Balance]]/OriginalLoanToValue173132[[#Totals],[Principal Outstanding Balance]]</f>
        <v>1.6990715897551953E-2</v>
      </c>
      <c r="E170" s="412">
        <f>_xlfn.XLOOKUP(A170,INPUT_DATA!$CJ$4:$CJ$397,INPUT_DATA!$CM$4:$CM$397)</f>
        <v>675</v>
      </c>
      <c r="F170" s="411">
        <f>OriginalLoanToValue173132[[#This Row],[Nb of Loans]]/OriginalLoanToValue173132[[#Totals],[Nb of Loans]]</f>
        <v>0.18703241895261846</v>
      </c>
    </row>
    <row r="171" spans="1:8" x14ac:dyDescent="0.25">
      <c r="A171" s="414" t="s">
        <v>400</v>
      </c>
      <c r="B171" s="705" t="s">
        <v>375</v>
      </c>
      <c r="C171" s="410">
        <f>_xlfn.XLOOKUP(A171,INPUT_DATA!$CJ$4:$CJ$397,INPUT_DATA!$CL$4:$CL$397)</f>
        <v>32821536.389999986</v>
      </c>
      <c r="D171" s="411">
        <f>OriginalLoanToValue173132[[#This Row],[Principal Outstanding Balance]]/OriginalLoanToValue173132[[#Totals],[Principal Outstanding Balance]]</f>
        <v>4.8057309895295879E-2</v>
      </c>
      <c r="E171" s="412">
        <f>_xlfn.XLOOKUP(A171,INPUT_DATA!$CJ$4:$CJ$397,INPUT_DATA!$CM$4:$CM$397)</f>
        <v>418</v>
      </c>
      <c r="F171" s="411">
        <f>OriginalLoanToValue173132[[#This Row],[Nb of Loans]]/OriginalLoanToValue173132[[#Totals],[Nb of Loans]]</f>
        <v>0.11582155721806595</v>
      </c>
    </row>
    <row r="172" spans="1:8" x14ac:dyDescent="0.25">
      <c r="A172" s="414" t="s">
        <v>401</v>
      </c>
      <c r="B172" s="705" t="s">
        <v>377</v>
      </c>
      <c r="C172" s="410">
        <f>_xlfn.XLOOKUP(A172,INPUT_DATA!$CJ$4:$CJ$397,INPUT_DATA!$CL$4:$CL$397)</f>
        <v>56931368.080000013</v>
      </c>
      <c r="D172" s="411">
        <f>OriginalLoanToValue173132[[#This Row],[Principal Outstanding Balance]]/OriginalLoanToValue173132[[#Totals],[Principal Outstanding Balance]]</f>
        <v>8.3358937438934355E-2</v>
      </c>
      <c r="E172" s="412">
        <f>_xlfn.XLOOKUP(A172,INPUT_DATA!$CJ$4:$CJ$397,INPUT_DATA!$CM$4:$CM$397)</f>
        <v>440</v>
      </c>
      <c r="F172" s="411">
        <f>OriginalLoanToValue173132[[#This Row],[Nb of Loans]]/OriginalLoanToValue173132[[#Totals],[Nb of Loans]]</f>
        <v>0.12191742865059574</v>
      </c>
    </row>
    <row r="173" spans="1:8" x14ac:dyDescent="0.25">
      <c r="A173" s="414" t="s">
        <v>402</v>
      </c>
      <c r="B173" s="705" t="s">
        <v>379</v>
      </c>
      <c r="C173" s="410">
        <f>_xlfn.XLOOKUP(A173,INPUT_DATA!$CJ$4:$CJ$397,INPUT_DATA!$CL$4:$CL$397)</f>
        <v>78536397.609999955</v>
      </c>
      <c r="D173" s="411">
        <f>OriginalLoanToValue173132[[#This Row],[Principal Outstanding Balance]]/OriginalLoanToValue173132[[#Totals],[Principal Outstanding Balance]]</f>
        <v>0.11499303241495648</v>
      </c>
      <c r="E173" s="412">
        <f>_xlfn.XLOOKUP(A173,INPUT_DATA!$CJ$4:$CJ$397,INPUT_DATA!$CM$4:$CM$397)</f>
        <v>421</v>
      </c>
      <c r="F173" s="411">
        <f>OriginalLoanToValue173132[[#This Row],[Nb of Loans]]/OriginalLoanToValue173132[[#Totals],[Nb of Loans]]</f>
        <v>0.11665281241341091</v>
      </c>
    </row>
    <row r="174" spans="1:8" x14ac:dyDescent="0.25">
      <c r="A174" s="414" t="s">
        <v>403</v>
      </c>
      <c r="B174" s="705" t="s">
        <v>381</v>
      </c>
      <c r="C174" s="410">
        <f>_xlfn.XLOOKUP(A174,INPUT_DATA!$CJ$4:$CJ$397,INPUT_DATA!$CL$4:$CL$397)</f>
        <v>74396611.559999943</v>
      </c>
      <c r="D174" s="411">
        <f>OriginalLoanToValue173132[[#This Row],[Principal Outstanding Balance]]/OriginalLoanToValue173132[[#Totals],[Principal Outstanding Balance]]</f>
        <v>0.10893155562297765</v>
      </c>
      <c r="E174" s="412">
        <f>_xlfn.XLOOKUP(A174,INPUT_DATA!$CJ$4:$CJ$397,INPUT_DATA!$CM$4:$CM$397)</f>
        <v>347</v>
      </c>
      <c r="F174" s="411">
        <f>OriginalLoanToValue173132[[#This Row],[Nb of Loans]]/OriginalLoanToValue173132[[#Totals],[Nb of Loans]]</f>
        <v>9.6148517594901631E-2</v>
      </c>
    </row>
    <row r="175" spans="1:8" x14ac:dyDescent="0.25">
      <c r="A175" s="414" t="s">
        <v>404</v>
      </c>
      <c r="B175" s="705" t="s">
        <v>383</v>
      </c>
      <c r="C175" s="410">
        <f>_xlfn.XLOOKUP(A175,INPUT_DATA!$CJ$4:$CJ$397,INPUT_DATA!$CL$4:$CL$397)</f>
        <v>75136345.409999996</v>
      </c>
      <c r="D175" s="411">
        <f>OriginalLoanToValue173132[[#This Row],[Principal Outstanding Balance]]/OriginalLoanToValue173132[[#Totals],[Principal Outstanding Balance]]</f>
        <v>0.11001467429381247</v>
      </c>
      <c r="E175" s="412">
        <f>_xlfn.XLOOKUP(A175,INPUT_DATA!$CJ$4:$CJ$397,INPUT_DATA!$CM$4:$CM$397)</f>
        <v>283</v>
      </c>
      <c r="F175" s="411">
        <f>OriginalLoanToValue173132[[#This Row],[Nb of Loans]]/OriginalLoanToValue173132[[#Totals],[Nb of Loans]]</f>
        <v>7.8415073427542253E-2</v>
      </c>
    </row>
    <row r="176" spans="1:8" x14ac:dyDescent="0.25">
      <c r="A176" s="414" t="s">
        <v>405</v>
      </c>
      <c r="B176" s="705" t="s">
        <v>385</v>
      </c>
      <c r="C176" s="410">
        <f>_xlfn.XLOOKUP(A176,INPUT_DATA!$CJ$4:$CJ$397,INPUT_DATA!$CL$4:$CL$397)</f>
        <v>76453718.150000006</v>
      </c>
      <c r="D176" s="411">
        <f>OriginalLoanToValue173132[[#This Row],[Principal Outstanding Balance]]/OriginalLoanToValue173132[[#Totals],[Principal Outstanding Balance]]</f>
        <v>0.111943572114485</v>
      </c>
      <c r="E176" s="412">
        <f>_xlfn.XLOOKUP(A176,INPUT_DATA!$CJ$4:$CJ$397,INPUT_DATA!$CM$4:$CM$397)</f>
        <v>261</v>
      </c>
      <c r="F176" s="411">
        <f>OriginalLoanToValue173132[[#This Row],[Nb of Loans]]/OriginalLoanToValue173132[[#Totals],[Nb of Loans]]</f>
        <v>7.2319201995012475E-2</v>
      </c>
    </row>
    <row r="177" spans="1:8" x14ac:dyDescent="0.25">
      <c r="A177" s="414" t="s">
        <v>406</v>
      </c>
      <c r="B177" s="705" t="s">
        <v>387</v>
      </c>
      <c r="C177" s="410">
        <f>_xlfn.XLOOKUP(A177,INPUT_DATA!$CJ$4:$CJ$397,INPUT_DATA!$CL$4:$CL$397)</f>
        <v>95386427.489999965</v>
      </c>
      <c r="D177" s="411">
        <f>OriginalLoanToValue173132[[#This Row],[Principal Outstanding Balance]]/OriginalLoanToValue173132[[#Totals],[Principal Outstanding Balance]]</f>
        <v>0.1396648545401046</v>
      </c>
      <c r="E177" s="412">
        <f>_xlfn.XLOOKUP(A177,INPUT_DATA!$CJ$4:$CJ$397,INPUT_DATA!$CM$4:$CM$397)</f>
        <v>282</v>
      </c>
      <c r="F177" s="411">
        <f>OriginalLoanToValue173132[[#This Row],[Nb of Loans]]/OriginalLoanToValue173132[[#Totals],[Nb of Loans]]</f>
        <v>7.813798836242726E-2</v>
      </c>
    </row>
    <row r="178" spans="1:8" x14ac:dyDescent="0.25">
      <c r="A178" s="414" t="s">
        <v>407</v>
      </c>
      <c r="B178" s="705" t="s">
        <v>389</v>
      </c>
      <c r="C178" s="410">
        <f>_xlfn.XLOOKUP(A178,INPUT_DATA!$CJ$4:$CJ$397,INPUT_DATA!$CL$4:$CL$397)</f>
        <v>97869909.760000035</v>
      </c>
      <c r="D178" s="411">
        <f>OriginalLoanToValue173132[[#This Row],[Principal Outstanding Balance]]/OriginalLoanToValue173132[[#Totals],[Principal Outstanding Balance]]</f>
        <v>0.14330117051418648</v>
      </c>
      <c r="E178" s="412">
        <f>_xlfn.XLOOKUP(A178,INPUT_DATA!$CJ$4:$CJ$397,INPUT_DATA!$CM$4:$CM$397)</f>
        <v>269</v>
      </c>
      <c r="F178" s="411">
        <f>OriginalLoanToValue173132[[#This Row],[Nb of Loans]]/OriginalLoanToValue173132[[#Totals],[Nb of Loans]]</f>
        <v>7.4535882515932392E-2</v>
      </c>
    </row>
    <row r="179" spans="1:8" x14ac:dyDescent="0.25">
      <c r="A179" s="414" t="s">
        <v>408</v>
      </c>
      <c r="B179" s="705" t="s">
        <v>391</v>
      </c>
      <c r="C179" s="410">
        <f>_xlfn.XLOOKUP(A179,INPUT_DATA!$CJ$4:$CJ$397,INPUT_DATA!$CL$4:$CL$397)</f>
        <v>68960061.670000017</v>
      </c>
      <c r="D179" s="411">
        <f>OriginalLoanToValue173132[[#This Row],[Principal Outstanding Balance]]/OriginalLoanToValue173132[[#Totals],[Principal Outstanding Balance]]</f>
        <v>0.10097135657194953</v>
      </c>
      <c r="E179" s="412">
        <f>_xlfn.XLOOKUP(A179,INPUT_DATA!$CJ$4:$CJ$397,INPUT_DATA!$CM$4:$CM$397)</f>
        <v>163</v>
      </c>
      <c r="F179" s="411">
        <f>OriginalLoanToValue173132[[#This Row],[Nb of Loans]]/OriginalLoanToValue173132[[#Totals],[Nb of Loans]]</f>
        <v>4.5164865613743423E-2</v>
      </c>
    </row>
    <row r="180" spans="1:8" x14ac:dyDescent="0.25">
      <c r="A180" s="414" t="s">
        <v>409</v>
      </c>
      <c r="B180" s="705" t="s">
        <v>1260</v>
      </c>
      <c r="C180" s="410">
        <f>_xlfn.XLOOKUP(A180,INPUT_DATA!$CJ$4:$CJ$397,INPUT_DATA!$CL$4:$CL$397)</f>
        <v>14870108.799999997</v>
      </c>
      <c r="D180" s="411">
        <f>OriginalLoanToValue173132[[#This Row],[Principal Outstanding Balance]]/OriginalLoanToValue173132[[#Totals],[Principal Outstanding Balance]]</f>
        <v>2.1772820695745817E-2</v>
      </c>
      <c r="E180" s="412">
        <f>_xlfn.XLOOKUP(A180,INPUT_DATA!$CJ$4:$CJ$397,INPUT_DATA!$CM$4:$CM$397)</f>
        <v>50</v>
      </c>
      <c r="F180" s="411">
        <f>OriginalLoanToValue173132[[#This Row],[Nb of Loans]]/OriginalLoanToValue173132[[#Totals],[Nb of Loans]]</f>
        <v>1.3854253255749516E-2</v>
      </c>
    </row>
    <row r="181" spans="1:8" x14ac:dyDescent="0.25">
      <c r="A181" s="414"/>
      <c r="B181" s="705" t="s">
        <v>2</v>
      </c>
      <c r="C181" s="792">
        <f>SUBTOTAL(109,OriginalLoanToValue173132[Principal Outstanding Balance])</f>
        <v>682966575.97999978</v>
      </c>
      <c r="D181" s="793">
        <f>SUBTOTAL(109,OriginalLoanToValue173132[% of Total (Amount)])</f>
        <v>1</v>
      </c>
      <c r="E181" s="794">
        <f>SUBTOTAL(109,OriginalLoanToValue173132[Nb of Loans])</f>
        <v>3609</v>
      </c>
      <c r="F181" s="793">
        <f>SUBTOTAL(109,OriginalLoanToValue173132[% of Total (Number)])</f>
        <v>1</v>
      </c>
    </row>
    <row r="182" spans="1:8" x14ac:dyDescent="0.25">
      <c r="A182" s="414"/>
      <c r="B182" s="409"/>
      <c r="C182" s="410"/>
      <c r="D182" s="411"/>
      <c r="E182" s="412"/>
      <c r="F182" s="411"/>
      <c r="H182" s="474" t="s">
        <v>654</v>
      </c>
    </row>
    <row r="183" spans="1:8" x14ac:dyDescent="0.25">
      <c r="A183" s="414"/>
      <c r="B183" s="407" t="s">
        <v>1377</v>
      </c>
      <c r="C183" s="407"/>
    </row>
    <row r="184" spans="1:8" ht="15" customHeight="1" x14ac:dyDescent="0.25">
      <c r="A184" s="414"/>
      <c r="B184" s="407"/>
      <c r="C184" s="407"/>
    </row>
    <row r="185" spans="1:8" ht="33" customHeight="1" x14ac:dyDescent="0.25">
      <c r="A185" s="414"/>
      <c r="B185" s="397" t="s">
        <v>371</v>
      </c>
      <c r="C185" s="397" t="s">
        <v>257</v>
      </c>
      <c r="D185" s="397" t="s">
        <v>289</v>
      </c>
      <c r="E185" s="397" t="s">
        <v>290</v>
      </c>
      <c r="F185" s="397" t="s">
        <v>291</v>
      </c>
      <c r="G185" s="408"/>
    </row>
    <row r="186" spans="1:8" x14ac:dyDescent="0.25">
      <c r="A186" s="414" t="s">
        <v>411</v>
      </c>
      <c r="B186" s="705" t="s">
        <v>373</v>
      </c>
      <c r="C186" s="410">
        <f>_xlfn.XLOOKUP(A186,INPUT_DATA!$CJ$4:$CJ$397,INPUT_DATA!$CL$4:$CL$397)</f>
        <v>693876.29999999981</v>
      </c>
      <c r="D186" s="411">
        <f>CurrentLoanToValue[[#This Row],[Principal Outstanding Balance]]/CurrentLoanToValue[[#Totals],[Principal Outstanding Balance]]</f>
        <v>1.0159740233324677E-3</v>
      </c>
      <c r="E186" s="412">
        <f>_xlfn.XLOOKUP(A186,INPUT_DATA!$CJ$4:$CJ$397,INPUT_DATA!$CM$4:$CM$397)</f>
        <v>15</v>
      </c>
      <c r="F186" s="411">
        <f>CurrentLoanToValue[[#This Row],[Nb of Loans]]/CurrentLoanToValue[[#Totals],[Nb of Loans]]</f>
        <v>4.1562759767248547E-3</v>
      </c>
    </row>
    <row r="187" spans="1:8" x14ac:dyDescent="0.25">
      <c r="A187" s="414" t="s">
        <v>412</v>
      </c>
      <c r="B187" s="705" t="s">
        <v>375</v>
      </c>
      <c r="C187" s="410">
        <f>_xlfn.XLOOKUP(A187,INPUT_DATA!$CJ$4:$CJ$397,INPUT_DATA!$CL$4:$CL$397)</f>
        <v>7647093.910000002</v>
      </c>
      <c r="D187" s="411">
        <f>CurrentLoanToValue[[#This Row],[Principal Outstanding Balance]]/CurrentLoanToValue[[#Totals],[Principal Outstanding Balance]]</f>
        <v>1.1196878703803424E-2</v>
      </c>
      <c r="E187" s="412">
        <f>_xlfn.XLOOKUP(A187,INPUT_DATA!$CJ$4:$CJ$397,INPUT_DATA!$CM$4:$CM$397)</f>
        <v>68</v>
      </c>
      <c r="F187" s="411">
        <f>CurrentLoanToValue[[#This Row],[Nb of Loans]]/CurrentLoanToValue[[#Totals],[Nb of Loans]]</f>
        <v>1.8841784427819339E-2</v>
      </c>
    </row>
    <row r="188" spans="1:8" x14ac:dyDescent="0.25">
      <c r="A188" s="414" t="s">
        <v>413</v>
      </c>
      <c r="B188" s="705" t="s">
        <v>377</v>
      </c>
      <c r="C188" s="410">
        <f>_xlfn.XLOOKUP(A188,INPUT_DATA!$CJ$4:$CJ$397,INPUT_DATA!$CL$4:$CL$397)</f>
        <v>18332022.300000004</v>
      </c>
      <c r="D188" s="411">
        <f>CurrentLoanToValue[[#This Row],[Principal Outstanding Balance]]/CurrentLoanToValue[[#Totals],[Principal Outstanding Balance]]</f>
        <v>2.6841756163096399E-2</v>
      </c>
      <c r="E188" s="412">
        <f>_xlfn.XLOOKUP(A188,INPUT_DATA!$CJ$4:$CJ$397,INPUT_DATA!$CM$4:$CM$397)</f>
        <v>149</v>
      </c>
      <c r="F188" s="411">
        <f>CurrentLoanToValue[[#This Row],[Nb of Loans]]/CurrentLoanToValue[[#Totals],[Nb of Loans]]</f>
        <v>4.1285674702133554E-2</v>
      </c>
    </row>
    <row r="189" spans="1:8" x14ac:dyDescent="0.25">
      <c r="A189" s="414" t="s">
        <v>414</v>
      </c>
      <c r="B189" s="705" t="s">
        <v>379</v>
      </c>
      <c r="C189" s="410">
        <f>_xlfn.XLOOKUP(A189,INPUT_DATA!$CJ$4:$CJ$397,INPUT_DATA!$CL$4:$CL$397)</f>
        <v>30124670.830000009</v>
      </c>
      <c r="D189" s="411">
        <f>CurrentLoanToValue[[#This Row],[Principal Outstanding Balance]]/CurrentLoanToValue[[#Totals],[Principal Outstanding Balance]]</f>
        <v>4.4108558001939746E-2</v>
      </c>
      <c r="E189" s="412">
        <f>_xlfn.XLOOKUP(A189,INPUT_DATA!$CJ$4:$CJ$397,INPUT_DATA!$CM$4:$CM$397)</f>
        <v>206</v>
      </c>
      <c r="F189" s="411">
        <f>CurrentLoanToValue[[#This Row],[Nb of Loans]]/CurrentLoanToValue[[#Totals],[Nb of Loans]]</f>
        <v>5.7079523413688001E-2</v>
      </c>
    </row>
    <row r="190" spans="1:8" x14ac:dyDescent="0.25">
      <c r="A190" s="414" t="s">
        <v>415</v>
      </c>
      <c r="B190" s="705" t="s">
        <v>381</v>
      </c>
      <c r="C190" s="410">
        <f>_xlfn.XLOOKUP(A190,INPUT_DATA!$CJ$4:$CJ$397,INPUT_DATA!$CL$4:$CL$397)</f>
        <v>56213534.280000001</v>
      </c>
      <c r="D190" s="411">
        <f>CurrentLoanToValue[[#This Row],[Principal Outstanding Balance]]/CurrentLoanToValue[[#Totals],[Principal Outstanding Balance]]</f>
        <v>8.230788483219445E-2</v>
      </c>
      <c r="E190" s="412">
        <f>_xlfn.XLOOKUP(A190,INPUT_DATA!$CJ$4:$CJ$397,INPUT_DATA!$CM$4:$CM$397)</f>
        <v>293</v>
      </c>
      <c r="F190" s="411">
        <f>CurrentLoanToValue[[#This Row],[Nb of Loans]]/CurrentLoanToValue[[#Totals],[Nb of Loans]]</f>
        <v>8.1185924078692157E-2</v>
      </c>
    </row>
    <row r="191" spans="1:8" x14ac:dyDescent="0.25">
      <c r="A191" s="414" t="s">
        <v>416</v>
      </c>
      <c r="B191" s="705" t="s">
        <v>383</v>
      </c>
      <c r="C191" s="410">
        <f>_xlfn.XLOOKUP(A191,INPUT_DATA!$CJ$4:$CJ$397,INPUT_DATA!$CL$4:$CL$397)</f>
        <v>58280503.229999952</v>
      </c>
      <c r="D191" s="411">
        <f>CurrentLoanToValue[[#This Row],[Principal Outstanding Balance]]/CurrentLoanToValue[[#Totals],[Principal Outstanding Balance]]</f>
        <v>8.5334341796115445E-2</v>
      </c>
      <c r="E191" s="412">
        <f>_xlfn.XLOOKUP(A191,INPUT_DATA!$CJ$4:$CJ$397,INPUT_DATA!$CM$4:$CM$397)</f>
        <v>333</v>
      </c>
      <c r="F191" s="411">
        <f>CurrentLoanToValue[[#This Row],[Nb of Loans]]/CurrentLoanToValue[[#Totals],[Nb of Loans]]</f>
        <v>9.2269326683291769E-2</v>
      </c>
    </row>
    <row r="192" spans="1:8" x14ac:dyDescent="0.25">
      <c r="A192" s="414" t="s">
        <v>417</v>
      </c>
      <c r="B192" s="705" t="s">
        <v>385</v>
      </c>
      <c r="C192" s="410">
        <f>_xlfn.XLOOKUP(A192,INPUT_DATA!$CJ$4:$CJ$397,INPUT_DATA!$CL$4:$CL$397)</f>
        <v>73887130.429999977</v>
      </c>
      <c r="D192" s="411">
        <f>CurrentLoanToValue[[#This Row],[Principal Outstanding Balance]]/CurrentLoanToValue[[#Totals],[Principal Outstanding Balance]]</f>
        <v>0.10818557309920787</v>
      </c>
      <c r="E192" s="412">
        <f>_xlfn.XLOOKUP(A192,INPUT_DATA!$CJ$4:$CJ$397,INPUT_DATA!$CM$4:$CM$397)</f>
        <v>412</v>
      </c>
      <c r="F192" s="411">
        <f>CurrentLoanToValue[[#This Row],[Nb of Loans]]/CurrentLoanToValue[[#Totals],[Nb of Loans]]</f>
        <v>0.114159046827376</v>
      </c>
    </row>
    <row r="193" spans="1:8" x14ac:dyDescent="0.25">
      <c r="A193" s="414" t="s">
        <v>418</v>
      </c>
      <c r="B193" s="705" t="s">
        <v>387</v>
      </c>
      <c r="C193" s="410">
        <f>_xlfn.XLOOKUP(A193,INPUT_DATA!$CJ$4:$CJ$397,INPUT_DATA!$CL$4:$CL$397)</f>
        <v>68755243.409999982</v>
      </c>
      <c r="D193" s="411">
        <f>CurrentLoanToValue[[#This Row],[Principal Outstanding Balance]]/CurrentLoanToValue[[#Totals],[Principal Outstanding Balance]]</f>
        <v>0.10067146157385809</v>
      </c>
      <c r="E193" s="412">
        <f>_xlfn.XLOOKUP(A193,INPUT_DATA!$CJ$4:$CJ$397,INPUT_DATA!$CM$4:$CM$397)</f>
        <v>351</v>
      </c>
      <c r="F193" s="411">
        <f>CurrentLoanToValue[[#This Row],[Nb of Loans]]/CurrentLoanToValue[[#Totals],[Nb of Loans]]</f>
        <v>9.7256857855361589E-2</v>
      </c>
    </row>
    <row r="194" spans="1:8" x14ac:dyDescent="0.25">
      <c r="A194" s="414" t="s">
        <v>419</v>
      </c>
      <c r="B194" s="705" t="s">
        <v>389</v>
      </c>
      <c r="C194" s="410">
        <f>_xlfn.XLOOKUP(A194,INPUT_DATA!$CJ$4:$CJ$397,INPUT_DATA!$CL$4:$CL$397)</f>
        <v>91644905.75000003</v>
      </c>
      <c r="D194" s="411">
        <f>CurrentLoanToValue[[#This Row],[Principal Outstanding Balance]]/CurrentLoanToValue[[#Totals],[Principal Outstanding Balance]]</f>
        <v>0.13418651654877439</v>
      </c>
      <c r="E194" s="412">
        <f>_xlfn.XLOOKUP(A194,INPUT_DATA!$CJ$4:$CJ$397,INPUT_DATA!$CM$4:$CM$397)</f>
        <v>426</v>
      </c>
      <c r="F194" s="411">
        <f>CurrentLoanToValue[[#This Row],[Nb of Loans]]/CurrentLoanToValue[[#Totals],[Nb of Loans]]</f>
        <v>0.11803823773898586</v>
      </c>
    </row>
    <row r="195" spans="1:8" x14ac:dyDescent="0.25">
      <c r="A195" s="414" t="s">
        <v>420</v>
      </c>
      <c r="B195" s="705" t="s">
        <v>391</v>
      </c>
      <c r="C195" s="410">
        <f>_xlfn.XLOOKUP(A195,INPUT_DATA!$CJ$4:$CJ$397,INPUT_DATA!$CL$4:$CL$397)</f>
        <v>238027520.56999987</v>
      </c>
      <c r="D195" s="411">
        <f>CurrentLoanToValue[[#This Row],[Principal Outstanding Balance]]/CurrentLoanToValue[[#Totals],[Principal Outstanding Balance]]</f>
        <v>0.34852001392374193</v>
      </c>
      <c r="E195" s="412">
        <f>_xlfn.XLOOKUP(A195,INPUT_DATA!$CJ$4:$CJ$397,INPUT_DATA!$CM$4:$CM$397)</f>
        <v>1239</v>
      </c>
      <c r="F195" s="411">
        <f>CurrentLoanToValue[[#This Row],[Nb of Loans]]/CurrentLoanToValue[[#Totals],[Nb of Loans]]</f>
        <v>0.34330839567747301</v>
      </c>
    </row>
    <row r="196" spans="1:8" x14ac:dyDescent="0.25">
      <c r="A196" s="414" t="s">
        <v>421</v>
      </c>
      <c r="B196" s="705" t="s">
        <v>1260</v>
      </c>
      <c r="C196" s="410">
        <f>_xlfn.XLOOKUP(A196,INPUT_DATA!$CJ$4:$CJ$397,INPUT_DATA!$CL$4:$CL$397)</f>
        <v>39360074.970000006</v>
      </c>
      <c r="D196" s="411">
        <f>CurrentLoanToValue[[#This Row],[Principal Outstanding Balance]]/CurrentLoanToValue[[#Totals],[Principal Outstanding Balance]]</f>
        <v>5.7631041333935852E-2</v>
      </c>
      <c r="E196" s="412">
        <f>_xlfn.XLOOKUP(A196,INPUT_DATA!$CJ$4:$CJ$397,INPUT_DATA!$CM$4:$CM$397)</f>
        <v>117</v>
      </c>
      <c r="F196" s="411">
        <f>CurrentLoanToValue[[#This Row],[Nb of Loans]]/CurrentLoanToValue[[#Totals],[Nb of Loans]]</f>
        <v>3.2418952618453865E-2</v>
      </c>
    </row>
    <row r="197" spans="1:8" x14ac:dyDescent="0.25">
      <c r="A197" s="414"/>
      <c r="B197" s="705" t="s">
        <v>2</v>
      </c>
      <c r="C197" s="792">
        <f>SUBTOTAL(109,CurrentLoanToValue[Principal Outstanding Balance])</f>
        <v>682966575.97999978</v>
      </c>
      <c r="D197" s="793">
        <f>SUBTOTAL(109,CurrentLoanToValue[% of Total (Amount)])</f>
        <v>1</v>
      </c>
      <c r="E197" s="794">
        <f>SUBTOTAL(109,CurrentLoanToValue[Nb of Loans])</f>
        <v>3609</v>
      </c>
      <c r="F197" s="793">
        <f>SUBTOTAL(109,CurrentLoanToValue[% of Total (Number)])</f>
        <v>0.99999999999999989</v>
      </c>
    </row>
    <row r="198" spans="1:8" x14ac:dyDescent="0.25">
      <c r="A198" s="414"/>
      <c r="B198" s="409"/>
      <c r="C198" s="410"/>
      <c r="D198" s="411"/>
      <c r="E198" s="412"/>
      <c r="F198" s="411"/>
      <c r="H198" s="474" t="s">
        <v>654</v>
      </c>
    </row>
    <row r="199" spans="1:8" x14ac:dyDescent="0.25">
      <c r="A199" s="414"/>
      <c r="B199" s="407" t="s">
        <v>1261</v>
      </c>
      <c r="C199" s="407"/>
    </row>
    <row r="200" spans="1:8" ht="15" customHeight="1" x14ac:dyDescent="0.25">
      <c r="A200" s="414"/>
      <c r="B200" s="407"/>
      <c r="C200" s="407"/>
    </row>
    <row r="201" spans="1:8" ht="33" customHeight="1" x14ac:dyDescent="0.25">
      <c r="A201" s="414"/>
      <c r="B201" s="397" t="s">
        <v>371</v>
      </c>
      <c r="C201" s="397" t="s">
        <v>257</v>
      </c>
      <c r="D201" s="397" t="s">
        <v>289</v>
      </c>
      <c r="E201" s="397" t="s">
        <v>290</v>
      </c>
      <c r="F201" s="397" t="s">
        <v>291</v>
      </c>
      <c r="G201" s="408"/>
    </row>
    <row r="202" spans="1:8" x14ac:dyDescent="0.25">
      <c r="A202" s="414" t="s">
        <v>422</v>
      </c>
      <c r="B202" s="705" t="s">
        <v>373</v>
      </c>
      <c r="C202" s="410">
        <f>_xlfn.XLOOKUP(A202,INPUT_DATA!$CJ$4:$CJ$397,INPUT_DATA!$CL$4:$CL$397)</f>
        <v>5325891.34</v>
      </c>
      <c r="D202" s="411">
        <f>CurrentLoanToValueMortgage[[#This Row],[Principal Outstanding Balance]]/CurrentLoanToValueMortgage[[#Totals],[Principal Outstanding Balance]]</f>
        <v>5.4529632246855468E-2</v>
      </c>
      <c r="E202" s="412">
        <f>_xlfn.XLOOKUP(A202,INPUT_DATA!$CJ$4:$CJ$397,INPUT_DATA!$CM$4:$CM$397)</f>
        <v>361</v>
      </c>
      <c r="F202" s="411">
        <f>CurrentLoanToValueMortgage[[#This Row],[Nb of Loans]]/CurrentLoanToValueMortgage[[#Totals],[Nb of Loans]]</f>
        <v>0.40790960451977404</v>
      </c>
    </row>
    <row r="203" spans="1:8" x14ac:dyDescent="0.25">
      <c r="A203" s="414" t="s">
        <v>423</v>
      </c>
      <c r="B203" s="705" t="s">
        <v>375</v>
      </c>
      <c r="C203" s="410">
        <f>_xlfn.XLOOKUP(A203,INPUT_DATA!$CJ$4:$CJ$397,INPUT_DATA!$CL$4:$CL$397)</f>
        <v>10404245.460000003</v>
      </c>
      <c r="D203" s="411">
        <f>CurrentLoanToValueMortgage[[#This Row],[Principal Outstanding Balance]]/CurrentLoanToValueMortgage[[#Totals],[Principal Outstanding Balance]]</f>
        <v>0.1065248317176174</v>
      </c>
      <c r="E203" s="412">
        <f>_xlfn.XLOOKUP(A203,INPUT_DATA!$CJ$4:$CJ$397,INPUT_DATA!$CM$4:$CM$397)</f>
        <v>153</v>
      </c>
      <c r="F203" s="411">
        <f>CurrentLoanToValueMortgage[[#This Row],[Nb of Loans]]/CurrentLoanToValueMortgage[[#Totals],[Nb of Loans]]</f>
        <v>0.17288135593220338</v>
      </c>
    </row>
    <row r="204" spans="1:8" x14ac:dyDescent="0.25">
      <c r="A204" s="414" t="s">
        <v>424</v>
      </c>
      <c r="B204" s="705" t="s">
        <v>377</v>
      </c>
      <c r="C204" s="410">
        <f>_xlfn.XLOOKUP(A204,INPUT_DATA!$CJ$4:$CJ$397,INPUT_DATA!$CL$4:$CL$397)</f>
        <v>11496946.030000001</v>
      </c>
      <c r="D204" s="411">
        <f>CurrentLoanToValueMortgage[[#This Row],[Principal Outstanding Balance]]/CurrentLoanToValueMortgage[[#Totals],[Principal Outstanding Balance]]</f>
        <v>0.11771254780760229</v>
      </c>
      <c r="E204" s="412">
        <f>_xlfn.XLOOKUP(A204,INPUT_DATA!$CJ$4:$CJ$397,INPUT_DATA!$CM$4:$CM$397)</f>
        <v>106</v>
      </c>
      <c r="F204" s="411">
        <f>CurrentLoanToValueMortgage[[#This Row],[Nb of Loans]]/CurrentLoanToValueMortgage[[#Totals],[Nb of Loans]]</f>
        <v>0.11977401129943503</v>
      </c>
    </row>
    <row r="205" spans="1:8" x14ac:dyDescent="0.25">
      <c r="A205" s="414" t="s">
        <v>425</v>
      </c>
      <c r="B205" s="705" t="s">
        <v>379</v>
      </c>
      <c r="C205" s="410">
        <f>_xlfn.XLOOKUP(A205,INPUT_DATA!$CJ$4:$CJ$397,INPUT_DATA!$CL$4:$CL$397)</f>
        <v>19985695.570000008</v>
      </c>
      <c r="D205" s="411">
        <f>CurrentLoanToValueMortgage[[#This Row],[Principal Outstanding Balance]]/CurrentLoanToValueMortgage[[#Totals],[Principal Outstanding Balance]]</f>
        <v>0.20462539696307605</v>
      </c>
      <c r="E205" s="412">
        <f>_xlfn.XLOOKUP(A205,INPUT_DATA!$CJ$4:$CJ$397,INPUT_DATA!$CM$4:$CM$397)</f>
        <v>104</v>
      </c>
      <c r="F205" s="411">
        <f>CurrentLoanToValueMortgage[[#This Row],[Nb of Loans]]/CurrentLoanToValueMortgage[[#Totals],[Nb of Loans]]</f>
        <v>0.11751412429378531</v>
      </c>
    </row>
    <row r="206" spans="1:8" x14ac:dyDescent="0.25">
      <c r="A206" s="414" t="s">
        <v>426</v>
      </c>
      <c r="B206" s="705" t="s">
        <v>381</v>
      </c>
      <c r="C206" s="410">
        <f>_xlfn.XLOOKUP(A206,INPUT_DATA!$CJ$4:$CJ$397,INPUT_DATA!$CL$4:$CL$397)</f>
        <v>11366789.920000004</v>
      </c>
      <c r="D206" s="411">
        <f>CurrentLoanToValueMortgage[[#This Row],[Principal Outstanding Balance]]/CurrentLoanToValueMortgage[[#Totals],[Principal Outstanding Balance]]</f>
        <v>0.11637993240862175</v>
      </c>
      <c r="E206" s="412">
        <f>_xlfn.XLOOKUP(A206,INPUT_DATA!$CJ$4:$CJ$397,INPUT_DATA!$CM$4:$CM$397)</f>
        <v>57</v>
      </c>
      <c r="F206" s="411">
        <f>CurrentLoanToValueMortgage[[#This Row],[Nb of Loans]]/CurrentLoanToValueMortgage[[#Totals],[Nb of Loans]]</f>
        <v>6.4406779661016947E-2</v>
      </c>
    </row>
    <row r="207" spans="1:8" x14ac:dyDescent="0.25">
      <c r="A207" s="414" t="s">
        <v>427</v>
      </c>
      <c r="B207" s="705" t="s">
        <v>383</v>
      </c>
      <c r="C207" s="410">
        <f>_xlfn.XLOOKUP(A207,INPUT_DATA!$CJ$4:$CJ$397,INPUT_DATA!$CL$4:$CL$397)</f>
        <v>9702099.2800000012</v>
      </c>
      <c r="D207" s="411">
        <f>CurrentLoanToValueMortgage[[#This Row],[Principal Outstanding Balance]]/CurrentLoanToValueMortgage[[#Totals],[Principal Outstanding Balance]]</f>
        <v>9.9335842957862769E-2</v>
      </c>
      <c r="E207" s="412">
        <f>_xlfn.XLOOKUP(A207,INPUT_DATA!$CJ$4:$CJ$397,INPUT_DATA!$CM$4:$CM$397)</f>
        <v>35</v>
      </c>
      <c r="F207" s="411">
        <f>CurrentLoanToValueMortgage[[#This Row],[Nb of Loans]]/CurrentLoanToValueMortgage[[#Totals],[Nb of Loans]]</f>
        <v>3.954802259887006E-2</v>
      </c>
    </row>
    <row r="208" spans="1:8" x14ac:dyDescent="0.25">
      <c r="A208" s="414" t="s">
        <v>428</v>
      </c>
      <c r="B208" s="705" t="s">
        <v>385</v>
      </c>
      <c r="C208" s="410">
        <f>_xlfn.XLOOKUP(A208,INPUT_DATA!$CJ$4:$CJ$397,INPUT_DATA!$CL$4:$CL$397)</f>
        <v>10548879.429999998</v>
      </c>
      <c r="D208" s="411">
        <f>CurrentLoanToValueMortgage[[#This Row],[Principal Outstanding Balance]]/CurrentLoanToValueMortgage[[#Totals],[Principal Outstanding Balance]]</f>
        <v>0.10800568002844727</v>
      </c>
      <c r="E208" s="412">
        <f>_xlfn.XLOOKUP(A208,INPUT_DATA!$CJ$4:$CJ$397,INPUT_DATA!$CM$4:$CM$397)</f>
        <v>31</v>
      </c>
      <c r="F208" s="411">
        <f>CurrentLoanToValueMortgage[[#This Row],[Nb of Loans]]/CurrentLoanToValueMortgage[[#Totals],[Nb of Loans]]</f>
        <v>3.5028248587570622E-2</v>
      </c>
    </row>
    <row r="209" spans="1:8" x14ac:dyDescent="0.25">
      <c r="A209" s="414" t="s">
        <v>429</v>
      </c>
      <c r="B209" s="705" t="s">
        <v>387</v>
      </c>
      <c r="C209" s="410">
        <f>_xlfn.XLOOKUP(A209,INPUT_DATA!$CJ$4:$CJ$397,INPUT_DATA!$CL$4:$CL$397)</f>
        <v>9707492.6299999971</v>
      </c>
      <c r="D209" s="411">
        <f>CurrentLoanToValueMortgage[[#This Row],[Principal Outstanding Balance]]/CurrentLoanToValueMortgage[[#Totals],[Principal Outstanding Balance]]</f>
        <v>9.9391063271854069E-2</v>
      </c>
      <c r="E209" s="412">
        <f>_xlfn.XLOOKUP(A209,INPUT_DATA!$CJ$4:$CJ$397,INPUT_DATA!$CM$4:$CM$397)</f>
        <v>21</v>
      </c>
      <c r="F209" s="411">
        <f>CurrentLoanToValueMortgage[[#This Row],[Nb of Loans]]/CurrentLoanToValueMortgage[[#Totals],[Nb of Loans]]</f>
        <v>2.3728813559322035E-2</v>
      </c>
    </row>
    <row r="210" spans="1:8" x14ac:dyDescent="0.25">
      <c r="A210" s="414" t="s">
        <v>430</v>
      </c>
      <c r="B210" s="705" t="s">
        <v>389</v>
      </c>
      <c r="C210" s="410">
        <f>_xlfn.XLOOKUP(A210,INPUT_DATA!$CJ$4:$CJ$397,INPUT_DATA!$CL$4:$CL$397)</f>
        <v>4825179.4300000006</v>
      </c>
      <c r="D210" s="411">
        <f>CurrentLoanToValueMortgage[[#This Row],[Principal Outstanding Balance]]/CurrentLoanToValueMortgage[[#Totals],[Principal Outstanding Balance]]</f>
        <v>4.940304693542466E-2</v>
      </c>
      <c r="E210" s="412">
        <f>_xlfn.XLOOKUP(A210,INPUT_DATA!$CJ$4:$CJ$397,INPUT_DATA!$CM$4:$CM$397)</f>
        <v>9</v>
      </c>
      <c r="F210" s="411">
        <f>CurrentLoanToValueMortgage[[#This Row],[Nb of Loans]]/CurrentLoanToValueMortgage[[#Totals],[Nb of Loans]]</f>
        <v>1.0169491525423728E-2</v>
      </c>
    </row>
    <row r="211" spans="1:8" x14ac:dyDescent="0.25">
      <c r="A211" s="414" t="s">
        <v>431</v>
      </c>
      <c r="B211" s="705" t="s">
        <v>391</v>
      </c>
      <c r="C211" s="410">
        <f>_xlfn.XLOOKUP(A211,INPUT_DATA!$CJ$4:$CJ$397,INPUT_DATA!$CL$4:$CL$397)</f>
        <v>4306453.72</v>
      </c>
      <c r="D211" s="411">
        <f>CurrentLoanToValueMortgage[[#This Row],[Principal Outstanding Balance]]/CurrentLoanToValueMortgage[[#Totals],[Principal Outstanding Balance]]</f>
        <v>4.4092025662638229E-2</v>
      </c>
      <c r="E211" s="412">
        <f>_xlfn.XLOOKUP(A211,INPUT_DATA!$CJ$4:$CJ$397,INPUT_DATA!$CM$4:$CM$397)</f>
        <v>8</v>
      </c>
      <c r="F211" s="795">
        <f>CurrentLoanToValueMortgage[[#This Row],[Nb of Loans]]/CurrentLoanToValueMortgage[[#Totals],[Nb of Loans]]</f>
        <v>9.0395480225988704E-3</v>
      </c>
    </row>
    <row r="212" spans="1:8" x14ac:dyDescent="0.25">
      <c r="A212" s="414" t="s">
        <v>432</v>
      </c>
      <c r="B212" s="705" t="s">
        <v>1260</v>
      </c>
      <c r="C212" s="410">
        <f>_xlfn.XLOOKUP(A212,INPUT_DATA!$CJ$4:$CJ$397,INPUT_DATA!$CL$4:$CL$397)</f>
        <v>0</v>
      </c>
      <c r="D212" s="411">
        <f>CurrentLoanToValueMortgage[[#This Row],[Principal Outstanding Balance]]/CurrentLoanToValueMortgage[[#Totals],[Principal Outstanding Balance]]</f>
        <v>0</v>
      </c>
      <c r="E212" s="412">
        <f>_xlfn.XLOOKUP(A212,INPUT_DATA!$CJ$4:$CJ$397,INPUT_DATA!$CM$4:$CM$397)</f>
        <v>0</v>
      </c>
      <c r="F212" s="411">
        <f>CurrentLoanToValueMortgage[[#This Row],[Nb of Loans]]/CurrentLoanToValueMortgage[[#Totals],[Nb of Loans]]</f>
        <v>0</v>
      </c>
    </row>
    <row r="213" spans="1:8" x14ac:dyDescent="0.25">
      <c r="A213" s="414"/>
      <c r="B213" s="705" t="s">
        <v>2</v>
      </c>
      <c r="C213" s="792">
        <f>SUBTOTAL(109,CurrentLoanToValueMortgage[Principal Outstanding Balance])</f>
        <v>97669672.810000017</v>
      </c>
      <c r="D213" s="793">
        <f>SUBTOTAL(109,CurrentLoanToValueMortgage[% of Total (Amount)])</f>
        <v>1</v>
      </c>
      <c r="E213" s="794">
        <f>SUBTOTAL(109,CurrentLoanToValueMortgage[Nb of Loans])</f>
        <v>885</v>
      </c>
      <c r="F213" s="793">
        <f>SUBTOTAL(109,CurrentLoanToValueMortgage[% of Total (Number)])</f>
        <v>0.99999999999999978</v>
      </c>
    </row>
    <row r="214" spans="1:8" x14ac:dyDescent="0.25">
      <c r="A214" s="414"/>
      <c r="B214" s="409"/>
      <c r="C214" s="410"/>
      <c r="D214" s="411"/>
      <c r="E214" s="412"/>
      <c r="F214" s="411"/>
      <c r="H214" s="474" t="s">
        <v>654</v>
      </c>
    </row>
    <row r="215" spans="1:8" x14ac:dyDescent="0.25">
      <c r="A215" s="414"/>
      <c r="B215" s="407" t="s">
        <v>1378</v>
      </c>
      <c r="C215" s="407"/>
    </row>
    <row r="216" spans="1:8" ht="15" customHeight="1" x14ac:dyDescent="0.25">
      <c r="A216" s="414"/>
      <c r="B216" s="407"/>
      <c r="C216" s="407"/>
    </row>
    <row r="217" spans="1:8" ht="33" customHeight="1" x14ac:dyDescent="0.25">
      <c r="A217" s="414"/>
      <c r="B217" s="397" t="s">
        <v>371</v>
      </c>
      <c r="C217" s="397" t="s">
        <v>257</v>
      </c>
      <c r="D217" s="397" t="s">
        <v>289</v>
      </c>
      <c r="E217" s="397" t="s">
        <v>290</v>
      </c>
      <c r="F217" s="397" t="s">
        <v>291</v>
      </c>
      <c r="G217" s="408"/>
    </row>
    <row r="218" spans="1:8" x14ac:dyDescent="0.25">
      <c r="A218" s="414" t="s">
        <v>433</v>
      </c>
      <c r="B218" s="705" t="s">
        <v>373</v>
      </c>
      <c r="C218" s="410">
        <f>_xlfn.XLOOKUP(A218,INPUT_DATA!$CJ$4:$CJ$397,INPUT_DATA!$CL$4:$CL$397)</f>
        <v>162850.68</v>
      </c>
      <c r="D218" s="411">
        <f>CurrentLoanToValueMortgage33[[#This Row],[Principal Outstanding Balance]]/CurrentLoanToValueMortgage33[[#Totals],[Principal Outstanding Balance]]</f>
        <v>1.6673617850322764E-3</v>
      </c>
      <c r="E218" s="412">
        <f>_xlfn.XLOOKUP(A218,INPUT_DATA!$CJ$4:$CJ$397,INPUT_DATA!$CM$4:$CM$397)</f>
        <v>3</v>
      </c>
      <c r="F218" s="411">
        <f>CurrentLoanToValueMortgage33[[#This Row],[Nb of Loans]]/CurrentLoanToValueMortgage33[[#Totals],[Nb of Loans]]</f>
        <v>3.3898305084745762E-3</v>
      </c>
    </row>
    <row r="219" spans="1:8" x14ac:dyDescent="0.25">
      <c r="A219" s="414" t="s">
        <v>434</v>
      </c>
      <c r="B219" s="705" t="s">
        <v>375</v>
      </c>
      <c r="C219" s="410">
        <f>_xlfn.XLOOKUP(A219,INPUT_DATA!$CJ$4:$CJ$397,INPUT_DATA!$CL$4:$CL$397)</f>
        <v>2478102.52</v>
      </c>
      <c r="D219" s="411">
        <f>CurrentLoanToValueMortgage33[[#This Row],[Principal Outstanding Balance]]/CurrentLoanToValueMortgage33[[#Totals],[Principal Outstanding Balance]]</f>
        <v>2.5372282395383198E-2</v>
      </c>
      <c r="E219" s="412">
        <f>_xlfn.XLOOKUP(A219,INPUT_DATA!$CJ$4:$CJ$397,INPUT_DATA!$CM$4:$CM$397)</f>
        <v>18</v>
      </c>
      <c r="F219" s="411">
        <f>CurrentLoanToValueMortgage33[[#This Row],[Nb of Loans]]/CurrentLoanToValueMortgage33[[#Totals],[Nb of Loans]]</f>
        <v>2.0338983050847456E-2</v>
      </c>
    </row>
    <row r="220" spans="1:8" x14ac:dyDescent="0.25">
      <c r="A220" s="414" t="s">
        <v>435</v>
      </c>
      <c r="B220" s="705" t="s">
        <v>377</v>
      </c>
      <c r="C220" s="410">
        <f>_xlfn.XLOOKUP(A220,INPUT_DATA!$CJ$4:$CJ$397,INPUT_DATA!$CL$4:$CL$397)</f>
        <v>2131546.12</v>
      </c>
      <c r="D220" s="411">
        <f>CurrentLoanToValueMortgage33[[#This Row],[Principal Outstanding Balance]]/CurrentLoanToValueMortgage33[[#Totals],[Principal Outstanding Balance]]</f>
        <v>2.1824032564812277E-2</v>
      </c>
      <c r="E220" s="412">
        <f>_xlfn.XLOOKUP(A220,INPUT_DATA!$CJ$4:$CJ$397,INPUT_DATA!$CM$4:$CM$397)</f>
        <v>32</v>
      </c>
      <c r="F220" s="411">
        <f>CurrentLoanToValueMortgage33[[#This Row],[Nb of Loans]]/CurrentLoanToValueMortgage33[[#Totals],[Nb of Loans]]</f>
        <v>3.6158192090395481E-2</v>
      </c>
    </row>
    <row r="221" spans="1:8" x14ac:dyDescent="0.25">
      <c r="A221" s="414" t="s">
        <v>436</v>
      </c>
      <c r="B221" s="705" t="s">
        <v>379</v>
      </c>
      <c r="C221" s="410">
        <f>_xlfn.XLOOKUP(A221,INPUT_DATA!$CJ$4:$CJ$397,INPUT_DATA!$CL$4:$CL$397)</f>
        <v>2949279.96</v>
      </c>
      <c r="D221" s="411">
        <f>CurrentLoanToValueMortgage33[[#This Row],[Principal Outstanding Balance]]/CurrentLoanToValueMortgage33[[#Totals],[Principal Outstanding Balance]]</f>
        <v>3.0196476297584516E-2</v>
      </c>
      <c r="E221" s="412">
        <f>_xlfn.XLOOKUP(A221,INPUT_DATA!$CJ$4:$CJ$397,INPUT_DATA!$CM$4:$CM$397)</f>
        <v>37</v>
      </c>
      <c r="F221" s="411">
        <f>CurrentLoanToValueMortgage33[[#This Row],[Nb of Loans]]/CurrentLoanToValueMortgage33[[#Totals],[Nb of Loans]]</f>
        <v>4.1807909604519772E-2</v>
      </c>
    </row>
    <row r="222" spans="1:8" x14ac:dyDescent="0.25">
      <c r="A222" s="414" t="s">
        <v>437</v>
      </c>
      <c r="B222" s="705" t="s">
        <v>381</v>
      </c>
      <c r="C222" s="410">
        <f>_xlfn.XLOOKUP(A222,INPUT_DATA!$CJ$4:$CJ$397,INPUT_DATA!$CL$4:$CL$397)</f>
        <v>9448756.9099999964</v>
      </c>
      <c r="D222" s="411">
        <f>CurrentLoanToValueMortgage33[[#This Row],[Principal Outstanding Balance]]/CurrentLoanToValueMortgage33[[#Totals],[Principal Outstanding Balance]]</f>
        <v>9.6741973615299917E-2</v>
      </c>
      <c r="E222" s="412">
        <f>_xlfn.XLOOKUP(A222,INPUT_DATA!$CJ$4:$CJ$397,INPUT_DATA!$CM$4:$CM$397)</f>
        <v>70</v>
      </c>
      <c r="F222" s="411">
        <f>CurrentLoanToValueMortgage33[[#This Row],[Nb of Loans]]/CurrentLoanToValueMortgage33[[#Totals],[Nb of Loans]]</f>
        <v>7.909604519774012E-2</v>
      </c>
    </row>
    <row r="223" spans="1:8" x14ac:dyDescent="0.25">
      <c r="A223" s="414" t="s">
        <v>438</v>
      </c>
      <c r="B223" s="705" t="s">
        <v>383</v>
      </c>
      <c r="C223" s="410">
        <f>_xlfn.XLOOKUP(A223,INPUT_DATA!$CJ$4:$CJ$397,INPUT_DATA!$CL$4:$CL$397)</f>
        <v>6589459.6799999997</v>
      </c>
      <c r="D223" s="411">
        <f>CurrentLoanToValueMortgage33[[#This Row],[Principal Outstanding Balance]]/CurrentLoanToValueMortgage33[[#Totals],[Principal Outstanding Balance]]</f>
        <v>6.7466793841100409E-2</v>
      </c>
      <c r="E223" s="412">
        <f>_xlfn.XLOOKUP(A223,INPUT_DATA!$CJ$4:$CJ$397,INPUT_DATA!$CM$4:$CM$397)</f>
        <v>79</v>
      </c>
      <c r="F223" s="411">
        <f>CurrentLoanToValueMortgage33[[#This Row],[Nb of Loans]]/CurrentLoanToValueMortgage33[[#Totals],[Nb of Loans]]</f>
        <v>8.9265536723163841E-2</v>
      </c>
    </row>
    <row r="224" spans="1:8" x14ac:dyDescent="0.25">
      <c r="A224" s="414" t="s">
        <v>439</v>
      </c>
      <c r="B224" s="705" t="s">
        <v>385</v>
      </c>
      <c r="C224" s="410">
        <f>_xlfn.XLOOKUP(A224,INPUT_DATA!$CJ$4:$CJ$397,INPUT_DATA!$CL$4:$CL$397)</f>
        <v>9236675.179999996</v>
      </c>
      <c r="D224" s="411">
        <f>CurrentLoanToValueMortgage33[[#This Row],[Principal Outstanding Balance]]/CurrentLoanToValueMortgage33[[#Totals],[Principal Outstanding Balance]]</f>
        <v>9.4570555160642361E-2</v>
      </c>
      <c r="E224" s="412">
        <f>_xlfn.XLOOKUP(A224,INPUT_DATA!$CJ$4:$CJ$397,INPUT_DATA!$CM$4:$CM$397)</f>
        <v>127</v>
      </c>
      <c r="F224" s="411">
        <f>CurrentLoanToValueMortgage33[[#This Row],[Nb of Loans]]/CurrentLoanToValueMortgage33[[#Totals],[Nb of Loans]]</f>
        <v>0.14350282485875707</v>
      </c>
    </row>
    <row r="225" spans="1:8" x14ac:dyDescent="0.25">
      <c r="A225" s="414" t="s">
        <v>440</v>
      </c>
      <c r="B225" s="705" t="s">
        <v>387</v>
      </c>
      <c r="C225" s="410">
        <f>_xlfn.XLOOKUP(A225,INPUT_DATA!$CJ$4:$CJ$397,INPUT_DATA!$CL$4:$CL$397)</f>
        <v>17883991.73</v>
      </c>
      <c r="D225" s="411">
        <f>CurrentLoanToValueMortgage33[[#This Row],[Principal Outstanding Balance]]/CurrentLoanToValueMortgage33[[#Totals],[Principal Outstanding Balance]]</f>
        <v>0.18310690734871521</v>
      </c>
      <c r="E225" s="412">
        <f>_xlfn.XLOOKUP(A225,INPUT_DATA!$CJ$4:$CJ$397,INPUT_DATA!$CM$4:$CM$397)</f>
        <v>141</v>
      </c>
      <c r="F225" s="411">
        <f>CurrentLoanToValueMortgage33[[#This Row],[Nb of Loans]]/CurrentLoanToValueMortgage33[[#Totals],[Nb of Loans]]</f>
        <v>0.15932203389830507</v>
      </c>
    </row>
    <row r="226" spans="1:8" x14ac:dyDescent="0.25">
      <c r="A226" s="414" t="s">
        <v>441</v>
      </c>
      <c r="B226" s="705" t="s">
        <v>389</v>
      </c>
      <c r="C226" s="410">
        <f>_xlfn.XLOOKUP(A226,INPUT_DATA!$CJ$4:$CJ$397,INPUT_DATA!$CL$4:$CL$397)</f>
        <v>17120075.060000006</v>
      </c>
      <c r="D226" s="411">
        <f>CurrentLoanToValueMortgage33[[#This Row],[Principal Outstanding Balance]]/CurrentLoanToValueMortgage33[[#Totals],[Principal Outstanding Balance]]</f>
        <v>0.17528547570036654</v>
      </c>
      <c r="E226" s="412">
        <f>_xlfn.XLOOKUP(A226,INPUT_DATA!$CJ$4:$CJ$397,INPUT_DATA!$CM$4:$CM$397)</f>
        <v>132</v>
      </c>
      <c r="F226" s="411">
        <f>CurrentLoanToValueMortgage33[[#This Row],[Nb of Loans]]/CurrentLoanToValueMortgage33[[#Totals],[Nb of Loans]]</f>
        <v>0.14915254237288136</v>
      </c>
    </row>
    <row r="227" spans="1:8" x14ac:dyDescent="0.25">
      <c r="A227" s="414" t="s">
        <v>442</v>
      </c>
      <c r="B227" s="705" t="s">
        <v>391</v>
      </c>
      <c r="C227" s="410">
        <f>_xlfn.XLOOKUP(A227,INPUT_DATA!$CJ$4:$CJ$397,INPUT_DATA!$CL$4:$CL$397)</f>
        <v>29668934.970000003</v>
      </c>
      <c r="D227" s="411">
        <f>CurrentLoanToValueMortgage33[[#This Row],[Principal Outstanding Balance]]/CurrentLoanToValueMortgage33[[#Totals],[Principal Outstanding Balance]]</f>
        <v>0.30376814129106328</v>
      </c>
      <c r="E227" s="412">
        <f>_xlfn.XLOOKUP(A227,INPUT_DATA!$CJ$4:$CJ$397,INPUT_DATA!$CM$4:$CM$397)</f>
        <v>246</v>
      </c>
      <c r="F227" s="411">
        <f>CurrentLoanToValueMortgage33[[#This Row],[Nb of Loans]]/CurrentLoanToValueMortgage33[[#Totals],[Nb of Loans]]</f>
        <v>0.27796610169491526</v>
      </c>
    </row>
    <row r="228" spans="1:8" x14ac:dyDescent="0.25">
      <c r="A228" s="414" t="s">
        <v>443</v>
      </c>
      <c r="B228" s="705" t="s">
        <v>1260</v>
      </c>
      <c r="C228" s="410">
        <f>_xlfn.XLOOKUP(A228,INPUT_DATA!$CJ$4:$CJ$397,INPUT_DATA!$CL$4:$CL$397)</f>
        <v>0</v>
      </c>
      <c r="D228" s="411">
        <f>CurrentLoanToValueMortgage33[[#This Row],[Principal Outstanding Balance]]/CurrentLoanToValueMortgage33[[#Totals],[Principal Outstanding Balance]]</f>
        <v>0</v>
      </c>
      <c r="E228" s="412">
        <f>_xlfn.XLOOKUP(A228,INPUT_DATA!$CJ$4:$CJ$397,INPUT_DATA!$CM$4:$CM$397)</f>
        <v>0</v>
      </c>
      <c r="F228" s="411">
        <f>CurrentLoanToValueMortgage33[[#This Row],[Nb of Loans]]/CurrentLoanToValueMortgage33[[#Totals],[Nb of Loans]]</f>
        <v>0</v>
      </c>
    </row>
    <row r="229" spans="1:8" x14ac:dyDescent="0.25">
      <c r="A229" s="414"/>
      <c r="B229" s="705" t="s">
        <v>2</v>
      </c>
      <c r="C229" s="792">
        <f>SUBTOTAL(109,CurrentLoanToValueMortgage33[Principal Outstanding Balance])</f>
        <v>97669672.810000002</v>
      </c>
      <c r="D229" s="799">
        <f>SUBTOTAL(109,CurrentLoanToValueMortgage33[% of Total (Amount)])</f>
        <v>1</v>
      </c>
      <c r="E229" s="800">
        <f>SUBTOTAL(109,CurrentLoanToValueMortgage33[Nb of Loans])</f>
        <v>885</v>
      </c>
      <c r="F229" s="799">
        <f>SUBTOTAL(109,CurrentLoanToValueMortgage33[% of Total (Number)])</f>
        <v>1</v>
      </c>
    </row>
    <row r="230" spans="1:8" x14ac:dyDescent="0.25">
      <c r="A230" s="414"/>
      <c r="B230" s="409"/>
      <c r="C230" s="410"/>
      <c r="D230" s="411"/>
      <c r="E230" s="412"/>
      <c r="F230" s="411"/>
      <c r="H230" s="474" t="s">
        <v>654</v>
      </c>
    </row>
    <row r="231" spans="1:8" x14ac:dyDescent="0.25">
      <c r="A231" s="414"/>
      <c r="B231" s="407" t="s">
        <v>1262</v>
      </c>
      <c r="C231" s="407"/>
    </row>
    <row r="232" spans="1:8" ht="15" customHeight="1" x14ac:dyDescent="0.25">
      <c r="A232" s="414"/>
      <c r="B232" s="407"/>
      <c r="C232" s="407"/>
    </row>
    <row r="233" spans="1:8" ht="33" customHeight="1" x14ac:dyDescent="0.25">
      <c r="A233" s="414"/>
      <c r="B233" s="397" t="s">
        <v>528</v>
      </c>
      <c r="C233" s="397" t="s">
        <v>257</v>
      </c>
      <c r="D233" s="397" t="s">
        <v>289</v>
      </c>
      <c r="E233" s="397" t="s">
        <v>290</v>
      </c>
      <c r="F233" s="397" t="s">
        <v>291</v>
      </c>
      <c r="G233" s="408"/>
    </row>
    <row r="234" spans="1:8" x14ac:dyDescent="0.25">
      <c r="A234" s="414" t="s">
        <v>444</v>
      </c>
      <c r="B234" s="409" t="s">
        <v>941</v>
      </c>
      <c r="C234" s="410">
        <f>_xlfn.XLOOKUP(A234,INPUT_DATA!$CJ$4:$CJ$397,INPUT_DATA!$CL$4:$CL$397)</f>
        <v>362668019.80000049</v>
      </c>
      <c r="D234" s="411">
        <f>Purpose34[[#This Row],[Principal Outstanding Balance]]/Purpose34[[#Totals],[Principal Outstanding Balance]]</f>
        <v>0.59159175331977454</v>
      </c>
      <c r="E234" s="412">
        <f>_xlfn.XLOOKUP(A234,INPUT_DATA!$CJ$4:$CJ$397,INPUT_DATA!$CM$4:$CM$397)</f>
        <v>1738</v>
      </c>
      <c r="F234" s="411">
        <f>Purpose34[[#This Row],[Nb of Loans]]/Purpose34[[#Totals],[Nb of Loans]]</f>
        <v>0.52555185969156337</v>
      </c>
    </row>
    <row r="235" spans="1:8" x14ac:dyDescent="0.25">
      <c r="A235" s="414" t="s">
        <v>445</v>
      </c>
      <c r="B235" s="409" t="s">
        <v>942</v>
      </c>
      <c r="C235" s="410">
        <f>_xlfn.XLOOKUP(A235,INPUT_DATA!$CJ$4:$CJ$397,INPUT_DATA!$CL$4:$CL$397)</f>
        <v>109176103.63000003</v>
      </c>
      <c r="D235" s="411">
        <f>Purpose34[[#This Row],[Principal Outstanding Balance]]/Purpose34[[#Totals],[Principal Outstanding Balance]]</f>
        <v>0.17809037202318281</v>
      </c>
      <c r="E235" s="412">
        <f>_xlfn.XLOOKUP(A235,INPUT_DATA!$CJ$4:$CJ$397,INPUT_DATA!$CM$4:$CM$397)</f>
        <v>697</v>
      </c>
      <c r="F235" s="411">
        <f>Purpose34[[#This Row],[Nb of Loans]]/Purpose34[[#Totals],[Nb of Loans]]</f>
        <v>0.21076504384638645</v>
      </c>
    </row>
    <row r="236" spans="1:8" x14ac:dyDescent="0.25">
      <c r="A236" s="414" t="s">
        <v>446</v>
      </c>
      <c r="B236" s="409" t="s">
        <v>943</v>
      </c>
      <c r="C236" s="410">
        <f>_xlfn.XLOOKUP(A236,INPUT_DATA!$CJ$4:$CJ$397,INPUT_DATA!$CL$4:$CL$397)</f>
        <v>61105406.100000009</v>
      </c>
      <c r="D236" s="411">
        <f>Purpose34[[#This Row],[Principal Outstanding Balance]]/Purpose34[[#Totals],[Principal Outstanding Balance]]</f>
        <v>9.967643232494304E-2</v>
      </c>
      <c r="E236" s="412">
        <f>_xlfn.XLOOKUP(A236,INPUT_DATA!$CJ$4:$CJ$397,INPUT_DATA!$CM$4:$CM$397)</f>
        <v>245</v>
      </c>
      <c r="F236" s="411">
        <f>Purpose34[[#This Row],[Nb of Loans]]/Purpose34[[#Totals],[Nb of Loans]]</f>
        <v>7.4085273661929241E-2</v>
      </c>
    </row>
    <row r="237" spans="1:8" x14ac:dyDescent="0.25">
      <c r="A237" s="414" t="s">
        <v>447</v>
      </c>
      <c r="B237" s="409" t="s">
        <v>944</v>
      </c>
      <c r="C237" s="410">
        <f>_xlfn.XLOOKUP(A237,INPUT_DATA!$CJ$4:$CJ$397,INPUT_DATA!$CL$4:$CL$397)</f>
        <v>57641288.620000005</v>
      </c>
      <c r="D237" s="411">
        <f>Purpose34[[#This Row],[Principal Outstanding Balance]]/Purpose34[[#Totals],[Principal Outstanding Balance]]</f>
        <v>9.4025690539579584E-2</v>
      </c>
      <c r="E237" s="412">
        <f>_xlfn.XLOOKUP(A237,INPUT_DATA!$CJ$4:$CJ$397,INPUT_DATA!$CM$4:$CM$397)</f>
        <v>465</v>
      </c>
      <c r="F237" s="411">
        <f>Purpose34[[#This Row],[Nb of Loans]]/Purpose34[[#Totals],[Nb of Loans]]</f>
        <v>0.1406108255216208</v>
      </c>
    </row>
    <row r="238" spans="1:8" x14ac:dyDescent="0.25">
      <c r="A238" s="414" t="s">
        <v>448</v>
      </c>
      <c r="B238" s="409" t="s">
        <v>945</v>
      </c>
      <c r="C238" s="410">
        <f>_xlfn.XLOOKUP(A238,INPUT_DATA!$CJ$4:$CJ$397,INPUT_DATA!$CL$4:$CL$397)</f>
        <v>0</v>
      </c>
      <c r="D238" s="411">
        <f>Purpose34[[#This Row],[Principal Outstanding Balance]]/Purpose34[[#Totals],[Principal Outstanding Balance]]</f>
        <v>0</v>
      </c>
      <c r="E238" s="412">
        <f>_xlfn.XLOOKUP(A238,INPUT_DATA!$CJ$4:$CJ$397,INPUT_DATA!$CM$4:$CM$397)</f>
        <v>0</v>
      </c>
      <c r="F238" s="411">
        <f>Purpose34[[#This Row],[Nb of Loans]]/Purpose34[[#Totals],[Nb of Loans]]</f>
        <v>0</v>
      </c>
    </row>
    <row r="239" spans="1:8" x14ac:dyDescent="0.25">
      <c r="A239" s="414" t="s">
        <v>449</v>
      </c>
      <c r="B239" s="409" t="s">
        <v>946</v>
      </c>
      <c r="C239" s="410">
        <f>_xlfn.XLOOKUP(A239,INPUT_DATA!$CJ$4:$CJ$397,INPUT_DATA!$CL$4:$CL$397)</f>
        <v>0</v>
      </c>
      <c r="D239" s="411">
        <f>Purpose34[[#This Row],[Principal Outstanding Balance]]/Purpose34[[#Totals],[Principal Outstanding Balance]]</f>
        <v>0</v>
      </c>
      <c r="E239" s="412">
        <f>_xlfn.XLOOKUP(A239,INPUT_DATA!$CJ$4:$CJ$397,INPUT_DATA!$CM$4:$CM$397)</f>
        <v>0</v>
      </c>
      <c r="F239" s="411">
        <f>Purpose34[[#This Row],[Nb of Loans]]/Purpose34[[#Totals],[Nb of Loans]]</f>
        <v>0</v>
      </c>
    </row>
    <row r="240" spans="1:8" x14ac:dyDescent="0.25">
      <c r="A240" s="414" t="s">
        <v>450</v>
      </c>
      <c r="B240" s="409" t="s">
        <v>947</v>
      </c>
      <c r="C240" s="410">
        <f>_xlfn.XLOOKUP(A240,INPUT_DATA!$CJ$4:$CJ$397,INPUT_DATA!$CL$4:$CL$397)</f>
        <v>21063681.050000008</v>
      </c>
      <c r="D240" s="411">
        <f>Purpose34[[#This Row],[Principal Outstanding Balance]]/Purpose34[[#Totals],[Principal Outstanding Balance]]</f>
        <v>3.4359522547948676E-2</v>
      </c>
      <c r="E240" s="412">
        <f>_xlfn.XLOOKUP(A240,INPUT_DATA!$CJ$4:$CJ$397,INPUT_DATA!$CM$4:$CM$397)</f>
        <v>142</v>
      </c>
      <c r="F240" s="411">
        <f>Purpose34[[#This Row],[Nb of Loans]]/Purpose34[[#Totals],[Nb of Loans]]</f>
        <v>4.2939219836710008E-2</v>
      </c>
    </row>
    <row r="241" spans="1:8" x14ac:dyDescent="0.25">
      <c r="A241" s="414" t="s">
        <v>451</v>
      </c>
      <c r="B241" s="409" t="s">
        <v>948</v>
      </c>
      <c r="C241" s="410">
        <f>_xlfn.XLOOKUP(A241,INPUT_DATA!$CJ$4:$CJ$397,INPUT_DATA!$CL$4:$CL$397)</f>
        <v>0</v>
      </c>
      <c r="D241" s="411">
        <f>Purpose34[[#This Row],[Principal Outstanding Balance]]/Purpose34[[#Totals],[Principal Outstanding Balance]]</f>
        <v>0</v>
      </c>
      <c r="E241" s="412">
        <f>_xlfn.XLOOKUP(A241,INPUT_DATA!$CJ$4:$CJ$397,INPUT_DATA!$CM$4:$CM$397)</f>
        <v>0</v>
      </c>
      <c r="F241" s="411">
        <f>Purpose34[[#This Row],[Nb of Loans]]/Purpose34[[#Totals],[Nb of Loans]]</f>
        <v>0</v>
      </c>
    </row>
    <row r="242" spans="1:8" x14ac:dyDescent="0.25">
      <c r="A242" s="414" t="s">
        <v>452</v>
      </c>
      <c r="B242" s="409" t="s">
        <v>949</v>
      </c>
      <c r="C242" s="410">
        <f>_xlfn.XLOOKUP(A242,INPUT_DATA!$CJ$4:$CJ$397,INPUT_DATA!$CL$4:$CL$397)</f>
        <v>991172.56999999983</v>
      </c>
      <c r="D242" s="411">
        <f>Purpose34[[#This Row],[Principal Outstanding Balance]]/Purpose34[[#Totals],[Principal Outstanding Balance]]</f>
        <v>1.6168216840628253E-3</v>
      </c>
      <c r="E242" s="412">
        <f>_xlfn.XLOOKUP(A242,INPUT_DATA!$CJ$4:$CJ$397,INPUT_DATA!$CM$4:$CM$397)</f>
        <v>18</v>
      </c>
      <c r="F242" s="411">
        <f>Purpose34[[#This Row],[Nb of Loans]]/Purpose34[[#Totals],[Nb of Loans]]</f>
        <v>5.4429996976111282E-3</v>
      </c>
    </row>
    <row r="243" spans="1:8" x14ac:dyDescent="0.25">
      <c r="A243" s="414" t="s">
        <v>453</v>
      </c>
      <c r="B243" s="409" t="s">
        <v>370</v>
      </c>
      <c r="C243" s="410">
        <f>_xlfn.XLOOKUP(A243,INPUT_DATA!$CJ$4:$CJ$397,INPUT_DATA!$CL$4:$CL$397)</f>
        <v>377550.38</v>
      </c>
      <c r="D243" s="411">
        <f>Purpose34[[#This Row],[Principal Outstanding Balance]]/Purpose34[[#Totals],[Principal Outstanding Balance]]</f>
        <v>6.158681744089828E-4</v>
      </c>
      <c r="E243" s="412">
        <f>_xlfn.XLOOKUP(A243,INPUT_DATA!$CJ$4:$CJ$397,INPUT_DATA!$CM$4:$CM$397)</f>
        <v>1</v>
      </c>
      <c r="F243" s="411">
        <f>Purpose34[[#This Row],[Nb of Loans]]/Purpose34[[#Totals],[Nb of Loans]]</f>
        <v>3.0238887208950711E-4</v>
      </c>
    </row>
    <row r="244" spans="1:8" x14ac:dyDescent="0.25">
      <c r="A244" s="414" t="s">
        <v>454</v>
      </c>
      <c r="B244" s="409" t="s">
        <v>950</v>
      </c>
      <c r="C244" s="410">
        <f>_xlfn.XLOOKUP(A244,INPUT_DATA!$CJ$4:$CJ$397,INPUT_DATA!$CL$4:$CL$397)</f>
        <v>14430.53</v>
      </c>
      <c r="D244" s="861">
        <f>Purpose34[[#This Row],[Principal Outstanding Balance]]/Purpose34[[#Totals],[Principal Outstanding Balance]]</f>
        <v>2.3539386099555928E-5</v>
      </c>
      <c r="E244" s="862">
        <f>_xlfn.XLOOKUP(A244,INPUT_DATA!$CJ$4:$CJ$397,INPUT_DATA!$CM$4:$CM$397)</f>
        <v>1</v>
      </c>
      <c r="F244" s="861">
        <f>Purpose34[[#This Row],[Nb of Loans]]/Purpose34[[#Totals],[Nb of Loans]]</f>
        <v>3.0238887208950711E-4</v>
      </c>
    </row>
    <row r="245" spans="1:8" x14ac:dyDescent="0.25">
      <c r="A245" s="414"/>
      <c r="B245" s="705" t="s">
        <v>2</v>
      </c>
      <c r="C245" s="792">
        <f>SUBTOTAL(109,Purpose34[Principal Outstanding Balance])</f>
        <v>613037652.68000054</v>
      </c>
      <c r="D245" s="863">
        <f>SUBTOTAL(109,Purpose34[% of Total (Amount)])</f>
        <v>1</v>
      </c>
      <c r="E245" s="864">
        <f>SUBTOTAL(109,Purpose34[Nb of Loans])</f>
        <v>3307</v>
      </c>
      <c r="F245" s="863">
        <f>SUBTOTAL(109,Purpose34[% of Total (Number)])</f>
        <v>1</v>
      </c>
    </row>
    <row r="246" spans="1:8" x14ac:dyDescent="0.25">
      <c r="A246" s="414"/>
      <c r="B246" s="409"/>
      <c r="C246" s="410"/>
      <c r="D246" s="411"/>
      <c r="E246" s="412"/>
      <c r="F246" s="411"/>
      <c r="H246" s="474" t="s">
        <v>654</v>
      </c>
    </row>
    <row r="247" spans="1:8" x14ac:dyDescent="0.25">
      <c r="A247" s="414"/>
      <c r="B247" s="407" t="s">
        <v>1263</v>
      </c>
      <c r="C247" s="407"/>
    </row>
    <row r="248" spans="1:8" ht="15" customHeight="1" x14ac:dyDescent="0.25">
      <c r="A248" s="414"/>
      <c r="B248" s="407"/>
      <c r="C248" s="407"/>
    </row>
    <row r="249" spans="1:8" ht="33" customHeight="1" x14ac:dyDescent="0.25">
      <c r="A249" s="414"/>
      <c r="B249" s="397" t="s">
        <v>465</v>
      </c>
      <c r="C249" s="397" t="s">
        <v>257</v>
      </c>
      <c r="D249" s="397" t="s">
        <v>289</v>
      </c>
      <c r="E249" s="397" t="s">
        <v>290</v>
      </c>
      <c r="F249" s="397" t="s">
        <v>291</v>
      </c>
      <c r="G249" s="408"/>
    </row>
    <row r="250" spans="1:8" ht="30" x14ac:dyDescent="0.25">
      <c r="A250" s="414" t="s">
        <v>455</v>
      </c>
      <c r="B250" s="409" t="s">
        <v>1264</v>
      </c>
      <c r="C250" s="410">
        <f>_xlfn.XLOOKUP(A250,INPUT_DATA!$CJ$4:$CJ$397,INPUT_DATA!$CL$4:$CL$397)</f>
        <v>654587229.1799984</v>
      </c>
      <c r="D250" s="411">
        <f>PropertyType[[#This Row],[Principal Outstanding Balance]]/PropertyType[[#Totals],[Principal Outstanding Balance]]</f>
        <v>0.9584469463102524</v>
      </c>
      <c r="E250" s="412">
        <f>_xlfn.XLOOKUP(A250,INPUT_DATA!$CJ$4:$CJ$397,INPUT_DATA!$CM$4:$CM$397)</f>
        <v>3544</v>
      </c>
      <c r="F250" s="411">
        <f>PropertyType[[#This Row],[Nb of Loans]]/PropertyType[[#Totals],[Nb of Loans]]</f>
        <v>0.98198947076752563</v>
      </c>
    </row>
    <row r="251" spans="1:8" ht="45" x14ac:dyDescent="0.25">
      <c r="A251" s="414" t="s">
        <v>456</v>
      </c>
      <c r="B251" s="409" t="s">
        <v>1265</v>
      </c>
      <c r="C251" s="410">
        <f>_xlfn.XLOOKUP(A251,INPUT_DATA!$CJ$4:$CJ$397,INPUT_DATA!$CL$4:$CL$397)</f>
        <v>0</v>
      </c>
      <c r="D251" s="411">
        <f>PropertyType[[#This Row],[Principal Outstanding Balance]]/PropertyType[[#Totals],[Principal Outstanding Balance]]</f>
        <v>0</v>
      </c>
      <c r="E251" s="412">
        <f>_xlfn.XLOOKUP(A251,INPUT_DATA!$CJ$4:$CJ$397,INPUT_DATA!$CM$4:$CM$397)</f>
        <v>0</v>
      </c>
      <c r="F251" s="411">
        <f>PropertyType[[#This Row],[Nb of Loans]]/PropertyType[[#Totals],[Nb of Loans]]</f>
        <v>0</v>
      </c>
    </row>
    <row r="252" spans="1:8" ht="30" x14ac:dyDescent="0.25">
      <c r="A252" s="414" t="s">
        <v>457</v>
      </c>
      <c r="B252" s="409" t="s">
        <v>1266</v>
      </c>
      <c r="C252" s="410">
        <f>_xlfn.XLOOKUP(A252,INPUT_DATA!$CJ$4:$CJ$397,INPUT_DATA!$CL$4:$CL$397)</f>
        <v>0</v>
      </c>
      <c r="D252" s="411">
        <f>PropertyType[[#This Row],[Principal Outstanding Balance]]/PropertyType[[#Totals],[Principal Outstanding Balance]]</f>
        <v>0</v>
      </c>
      <c r="E252" s="412">
        <f>_xlfn.XLOOKUP(A252,INPUT_DATA!$CJ$4:$CJ$397,INPUT_DATA!$CM$4:$CM$397)</f>
        <v>0</v>
      </c>
      <c r="F252" s="411">
        <f>PropertyType[[#This Row],[Nb of Loans]]/PropertyType[[#Totals],[Nb of Loans]]</f>
        <v>0</v>
      </c>
    </row>
    <row r="253" spans="1:8" ht="30" x14ac:dyDescent="0.25">
      <c r="A253" s="414" t="s">
        <v>458</v>
      </c>
      <c r="B253" s="409" t="s">
        <v>1267</v>
      </c>
      <c r="C253" s="410">
        <f>_xlfn.XLOOKUP(A253,INPUT_DATA!$CJ$4:$CJ$397,INPUT_DATA!$CL$4:$CL$397)</f>
        <v>28379346.800000001</v>
      </c>
      <c r="D253" s="411">
        <f>PropertyType[[#This Row],[Principal Outstanding Balance]]/PropertyType[[#Totals],[Principal Outstanding Balance]]</f>
        <v>4.1553053689747668E-2</v>
      </c>
      <c r="E253" s="412">
        <f>_xlfn.XLOOKUP(A253,INPUT_DATA!$CJ$4:$CJ$397,INPUT_DATA!$CM$4:$CM$397)</f>
        <v>65</v>
      </c>
      <c r="F253" s="411">
        <f>PropertyType[[#This Row],[Nb of Loans]]/PropertyType[[#Totals],[Nb of Loans]]</f>
        <v>1.801052923247437E-2</v>
      </c>
    </row>
    <row r="254" spans="1:8" x14ac:dyDescent="0.25">
      <c r="A254" s="414" t="s">
        <v>459</v>
      </c>
      <c r="B254" s="409" t="s">
        <v>370</v>
      </c>
      <c r="C254" s="410">
        <f>_xlfn.XLOOKUP(A254,INPUT_DATA!$CJ$4:$CJ$397,INPUT_DATA!$CL$4:$CL$397)</f>
        <v>0</v>
      </c>
      <c r="D254" s="411">
        <f>PropertyType[[#This Row],[Principal Outstanding Balance]]/PropertyType[[#Totals],[Principal Outstanding Balance]]</f>
        <v>0</v>
      </c>
      <c r="E254" s="412">
        <f>_xlfn.XLOOKUP(A254,INPUT_DATA!$CJ$4:$CJ$397,INPUT_DATA!$CM$4:$CM$397)</f>
        <v>0</v>
      </c>
      <c r="F254" s="411">
        <f>PropertyType[[#This Row],[Nb of Loans]]/PropertyType[[#Totals],[Nb of Loans]]</f>
        <v>0</v>
      </c>
    </row>
    <row r="255" spans="1:8" x14ac:dyDescent="0.25">
      <c r="A255" s="414"/>
      <c r="B255" s="705" t="s">
        <v>2</v>
      </c>
      <c r="C255" s="792">
        <f>SUBTOTAL(109,PropertyType[Principal Outstanding Balance])</f>
        <v>682966575.97999835</v>
      </c>
      <c r="D255" s="793">
        <f>SUBTOTAL(109,PropertyType[% of Total (Amount)])</f>
        <v>1</v>
      </c>
      <c r="E255" s="794">
        <f>SUBTOTAL(109,PropertyType[Nb of Loans])</f>
        <v>3609</v>
      </c>
      <c r="F255" s="793">
        <f>SUBTOTAL(109,PropertyType[% of Total (Number)])</f>
        <v>1</v>
      </c>
    </row>
    <row r="256" spans="1:8" x14ac:dyDescent="0.25">
      <c r="A256" s="414"/>
      <c r="B256" s="409"/>
      <c r="C256" s="410"/>
      <c r="D256" s="411"/>
      <c r="E256" s="412"/>
      <c r="F256" s="411"/>
      <c r="H256" s="474" t="s">
        <v>654</v>
      </c>
    </row>
    <row r="257" spans="1:8" x14ac:dyDescent="0.25">
      <c r="A257" s="414"/>
      <c r="B257" s="407" t="s">
        <v>1268</v>
      </c>
      <c r="C257" s="407"/>
    </row>
    <row r="258" spans="1:8" ht="15" customHeight="1" x14ac:dyDescent="0.25">
      <c r="A258" s="414"/>
      <c r="B258" s="407"/>
      <c r="C258" s="407"/>
    </row>
    <row r="259" spans="1:8" ht="33" customHeight="1" x14ac:dyDescent="0.25">
      <c r="A259" s="414"/>
      <c r="B259" s="397" t="s">
        <v>490</v>
      </c>
      <c r="C259" s="397" t="s">
        <v>257</v>
      </c>
      <c r="D259" s="397" t="s">
        <v>289</v>
      </c>
      <c r="E259" s="397" t="s">
        <v>290</v>
      </c>
      <c r="F259" s="397" t="s">
        <v>291</v>
      </c>
      <c r="G259" s="408"/>
    </row>
    <row r="260" spans="1:8" x14ac:dyDescent="0.25">
      <c r="A260" s="414" t="s">
        <v>460</v>
      </c>
      <c r="B260" s="409" t="s">
        <v>492</v>
      </c>
      <c r="C260" s="410">
        <f>_xlfn.XLOOKUP(A260,INPUT_DATA!$CJ$4:$CJ$397,INPUT_DATA!$CL$4:$CL$397)</f>
        <v>679213076.61999822</v>
      </c>
      <c r="D260" s="411">
        <f>PaymentFrequency35[[#This Row],[Principal Outstanding Balance]]/PaymentFrequency35[[#Totals],[Principal Outstanding Balance]]</f>
        <v>0.99450412437151248</v>
      </c>
      <c r="E260" s="412">
        <f>_xlfn.XLOOKUP(A260,INPUT_DATA!$CJ$4:$CJ$397,INPUT_DATA!$CM$4:$CM$397)</f>
        <v>3606</v>
      </c>
      <c r="F260" s="411">
        <f>PaymentFrequency35[[#This Row],[Nb of Loans]]/PaymentFrequency35[[#Totals],[Nb of Loans]]</f>
        <v>0.99916874480465501</v>
      </c>
    </row>
    <row r="261" spans="1:8" x14ac:dyDescent="0.25">
      <c r="A261" s="414" t="s">
        <v>461</v>
      </c>
      <c r="B261" s="409" t="s">
        <v>494</v>
      </c>
      <c r="C261" s="410">
        <f>_xlfn.XLOOKUP(A261,INPUT_DATA!$CJ$4:$CJ$397,INPUT_DATA!$CL$4:$CL$397)</f>
        <v>3718449.59</v>
      </c>
      <c r="D261" s="411">
        <f>PaymentFrequency35[[#This Row],[Principal Outstanding Balance]]/PaymentFrequency35[[#Totals],[Principal Outstanding Balance]]</f>
        <v>5.4445557378329165E-3</v>
      </c>
      <c r="E261" s="412">
        <f>_xlfn.XLOOKUP(A261,INPUT_DATA!$CJ$4:$CJ$397,INPUT_DATA!$CM$4:$CM$397)</f>
        <v>2</v>
      </c>
      <c r="F261" s="411">
        <f>PaymentFrequency35[[#This Row],[Nb of Loans]]/PaymentFrequency35[[#Totals],[Nb of Loans]]</f>
        <v>5.5417013022998065E-4</v>
      </c>
    </row>
    <row r="262" spans="1:8" x14ac:dyDescent="0.25">
      <c r="A262" s="414" t="s">
        <v>462</v>
      </c>
      <c r="B262" s="409" t="s">
        <v>496</v>
      </c>
      <c r="C262" s="410">
        <f>_xlfn.XLOOKUP(A262,INPUT_DATA!$CJ$4:$CJ$397,INPUT_DATA!$CL$4:$CL$397)</f>
        <v>0</v>
      </c>
      <c r="D262" s="411">
        <f>PaymentFrequency35[[#This Row],[Principal Outstanding Balance]]/PaymentFrequency35[[#Totals],[Principal Outstanding Balance]]</f>
        <v>0</v>
      </c>
      <c r="E262" s="412">
        <f>_xlfn.XLOOKUP(A262,INPUT_DATA!$CJ$4:$CJ$397,INPUT_DATA!$CM$4:$CM$397)</f>
        <v>0</v>
      </c>
      <c r="F262" s="411">
        <f>PaymentFrequency35[[#This Row],[Nb of Loans]]/PaymentFrequency35[[#Totals],[Nb of Loans]]</f>
        <v>0</v>
      </c>
    </row>
    <row r="263" spans="1:8" x14ac:dyDescent="0.25">
      <c r="A263" s="414" t="s">
        <v>463</v>
      </c>
      <c r="B263" s="409" t="s">
        <v>498</v>
      </c>
      <c r="C263" s="410">
        <f>_xlfn.XLOOKUP(A263,INPUT_DATA!$CJ$4:$CJ$397,INPUT_DATA!$CL$4:$CL$397)</f>
        <v>35049.769999999997</v>
      </c>
      <c r="D263" s="411">
        <f>PaymentFrequency35[[#This Row],[Principal Outstanding Balance]]/PaymentFrequency35[[#Totals],[Principal Outstanding Balance]]</f>
        <v>5.1319890654541324E-5</v>
      </c>
      <c r="E263" s="412">
        <f>_xlfn.XLOOKUP(A263,INPUT_DATA!$CJ$4:$CJ$397,INPUT_DATA!$CM$4:$CM$397)</f>
        <v>1</v>
      </c>
      <c r="F263" s="411">
        <f>PaymentFrequency35[[#This Row],[Nb of Loans]]/PaymentFrequency35[[#Totals],[Nb of Loans]]</f>
        <v>2.7708506511499033E-4</v>
      </c>
    </row>
    <row r="264" spans="1:8" x14ac:dyDescent="0.25">
      <c r="A264" s="414" t="s">
        <v>464</v>
      </c>
      <c r="B264" s="409" t="s">
        <v>370</v>
      </c>
      <c r="C264" s="410">
        <f>_xlfn.XLOOKUP(A264,INPUT_DATA!$CJ$4:$CJ$397,INPUT_DATA!$CL$4:$CL$397)</f>
        <v>0</v>
      </c>
      <c r="D264" s="411">
        <f>PaymentFrequency35[[#This Row],[Principal Outstanding Balance]]/PaymentFrequency35[[#Totals],[Principal Outstanding Balance]]</f>
        <v>0</v>
      </c>
      <c r="E264" s="412">
        <f>_xlfn.XLOOKUP(A264,INPUT_DATA!$CJ$4:$CJ$397,INPUT_DATA!$CM$4:$CM$397)</f>
        <v>0</v>
      </c>
      <c r="F264" s="411">
        <f>PaymentFrequency35[[#This Row],[Nb of Loans]]/PaymentFrequency35[[#Totals],[Nb of Loans]]</f>
        <v>0</v>
      </c>
    </row>
    <row r="265" spans="1:8" x14ac:dyDescent="0.25">
      <c r="A265" s="414"/>
      <c r="B265" s="705" t="s">
        <v>2</v>
      </c>
      <c r="C265" s="792">
        <f>SUBTOTAL(109,PaymentFrequency35[Principal Outstanding Balance])</f>
        <v>682966575.97999823</v>
      </c>
      <c r="D265" s="793">
        <f>SUBTOTAL(109,PaymentFrequency35[% of Total (Amount)])</f>
        <v>0.99999999999999989</v>
      </c>
      <c r="E265" s="794">
        <f>SUBTOTAL(109,PaymentFrequency35[Nb of Loans])</f>
        <v>3609</v>
      </c>
      <c r="F265" s="793">
        <f>SUBTOTAL(109,PaymentFrequency35[% of Total (Number)])</f>
        <v>1</v>
      </c>
    </row>
    <row r="266" spans="1:8" x14ac:dyDescent="0.25">
      <c r="A266" s="414"/>
      <c r="B266" s="409"/>
      <c r="C266" s="410"/>
      <c r="D266" s="411"/>
      <c r="E266" s="412"/>
      <c r="F266" s="411"/>
      <c r="H266" s="474" t="s">
        <v>654</v>
      </c>
    </row>
    <row r="267" spans="1:8" x14ac:dyDescent="0.25">
      <c r="A267" s="414"/>
      <c r="B267" s="407" t="s">
        <v>1269</v>
      </c>
      <c r="C267" s="407"/>
    </row>
    <row r="268" spans="1:8" ht="15" customHeight="1" x14ac:dyDescent="0.25">
      <c r="A268" s="414"/>
      <c r="B268" s="407"/>
      <c r="C268" s="407"/>
    </row>
    <row r="269" spans="1:8" ht="33" customHeight="1" x14ac:dyDescent="0.25">
      <c r="A269" s="414"/>
      <c r="B269" s="397" t="s">
        <v>503</v>
      </c>
      <c r="C269" s="397" t="s">
        <v>257</v>
      </c>
      <c r="D269" s="397" t="s">
        <v>289</v>
      </c>
      <c r="E269" s="397" t="s">
        <v>1503</v>
      </c>
      <c r="F269" s="397" t="s">
        <v>291</v>
      </c>
      <c r="G269" s="408"/>
    </row>
    <row r="270" spans="1:8" x14ac:dyDescent="0.25">
      <c r="A270" s="414" t="s">
        <v>466</v>
      </c>
      <c r="B270" s="409" t="s">
        <v>505</v>
      </c>
      <c r="C270" s="410">
        <f>_xlfn.XLOOKUP(A270,INPUT_DATA!$CJ$4:$CJ$397,INPUT_DATA!$CL$4:$CL$397)</f>
        <v>402198424.61000019</v>
      </c>
      <c r="D270" s="411">
        <f>EmploymentType36[[#This Row],[Principal Outstanding Balance]]/EmploymentType36[[#Totals],[Principal Outstanding Balance]]</f>
        <v>0.58889913321582221</v>
      </c>
      <c r="E270" s="412">
        <f>_xlfn.XLOOKUP(A270,INPUT_DATA!$CJ$4:$CJ$397,INPUT_DATA!$CM$4:$CM$397)</f>
        <v>1818</v>
      </c>
      <c r="F270" s="411">
        <f>EmploymentType36[[#This Row],[Nb of Borrowers]]/EmploymentType36[[#Totals],[Nb of Borrowers]]</f>
        <v>0.56389578163771714</v>
      </c>
    </row>
    <row r="271" spans="1:8" x14ac:dyDescent="0.25">
      <c r="A271" s="414" t="s">
        <v>467</v>
      </c>
      <c r="B271" s="409" t="s">
        <v>507</v>
      </c>
      <c r="C271" s="410">
        <f>_xlfn.XLOOKUP(A271,INPUT_DATA!$CJ$4:$CJ$397,INPUT_DATA!$CL$4:$CL$397)</f>
        <v>32123973.949999999</v>
      </c>
      <c r="D271" s="411">
        <f>EmploymentType36[[#This Row],[Principal Outstanding Balance]]/EmploymentType36[[#Totals],[Principal Outstanding Balance]]</f>
        <v>4.7035938623943292E-2</v>
      </c>
      <c r="E271" s="412">
        <f>_xlfn.XLOOKUP(A271,INPUT_DATA!$CJ$4:$CJ$397,INPUT_DATA!$CM$4:$CM$397)</f>
        <v>167</v>
      </c>
      <c r="F271" s="411">
        <f>EmploymentType36[[#This Row],[Nb of Borrowers]]/EmploymentType36[[#Totals],[Nb of Borrowers]]</f>
        <v>5.1799007444168738E-2</v>
      </c>
    </row>
    <row r="272" spans="1:8" x14ac:dyDescent="0.25">
      <c r="A272" s="414" t="s">
        <v>468</v>
      </c>
      <c r="B272" s="409" t="s">
        <v>509</v>
      </c>
      <c r="C272" s="410">
        <f>_xlfn.XLOOKUP(A272,INPUT_DATA!$CJ$4:$CJ$397,INPUT_DATA!$CL$4:$CL$397)</f>
        <v>28098200.999999996</v>
      </c>
      <c r="D272" s="411">
        <f>EmploymentType36[[#This Row],[Principal Outstanding Balance]]/EmploymentType36[[#Totals],[Principal Outstanding Balance]]</f>
        <v>4.1141399869651617E-2</v>
      </c>
      <c r="E272" s="412">
        <f>_xlfn.XLOOKUP(A272,INPUT_DATA!$CJ$4:$CJ$397,INPUT_DATA!$CM$4:$CM$397)</f>
        <v>95</v>
      </c>
      <c r="F272" s="411">
        <f>EmploymentType36[[#This Row],[Nb of Borrowers]]/EmploymentType36[[#Totals],[Nb of Borrowers]]</f>
        <v>2.946650124069479E-2</v>
      </c>
    </row>
    <row r="273" spans="1:8" x14ac:dyDescent="0.25">
      <c r="A273" s="414" t="s">
        <v>469</v>
      </c>
      <c r="B273" s="409" t="s">
        <v>511</v>
      </c>
      <c r="C273" s="410">
        <f>_xlfn.XLOOKUP(A273,INPUT_DATA!$CJ$4:$CJ$397,INPUT_DATA!$CL$4:$CL$397)</f>
        <v>29711116.610000007</v>
      </c>
      <c r="D273" s="411">
        <f>EmploymentType36[[#This Row],[Principal Outstanding Balance]]/EmploymentType36[[#Totals],[Principal Outstanding Balance]]</f>
        <v>4.3503031707469754E-2</v>
      </c>
      <c r="E273" s="412">
        <f>_xlfn.XLOOKUP(A273,INPUT_DATA!$CJ$4:$CJ$397,INPUT_DATA!$CM$4:$CM$397)</f>
        <v>119</v>
      </c>
      <c r="F273" s="411">
        <f>EmploymentType36[[#This Row],[Nb of Borrowers]]/EmploymentType36[[#Totals],[Nb of Borrowers]]</f>
        <v>3.6910669975186106E-2</v>
      </c>
    </row>
    <row r="274" spans="1:8" x14ac:dyDescent="0.25">
      <c r="A274" s="414" t="s">
        <v>470</v>
      </c>
      <c r="B274" s="409" t="s">
        <v>513</v>
      </c>
      <c r="C274" s="410">
        <f>_xlfn.XLOOKUP(A274,INPUT_DATA!$CJ$4:$CJ$397,INPUT_DATA!$CL$4:$CL$397)</f>
        <v>57170887.830000013</v>
      </c>
      <c r="D274" s="411">
        <f>EmploymentType36[[#This Row],[Principal Outstanding Balance]]/EmploymentType36[[#Totals],[Principal Outstanding Balance]]</f>
        <v>8.3709642375931106E-2</v>
      </c>
      <c r="E274" s="412">
        <f>_xlfn.XLOOKUP(A274,INPUT_DATA!$CJ$4:$CJ$397,INPUT_DATA!$CM$4:$CM$397)</f>
        <v>274</v>
      </c>
      <c r="F274" s="411">
        <f>EmploymentType36[[#This Row],[Nb of Borrowers]]/EmploymentType36[[#Totals],[Nb of Borrowers]]</f>
        <v>8.4987593052109178E-2</v>
      </c>
    </row>
    <row r="275" spans="1:8" x14ac:dyDescent="0.25">
      <c r="A275" s="414" t="s">
        <v>471</v>
      </c>
      <c r="B275" s="409" t="s">
        <v>515</v>
      </c>
      <c r="C275" s="410">
        <f>_xlfn.XLOOKUP(A275,INPUT_DATA!$CJ$4:$CJ$397,INPUT_DATA!$CL$4:$CL$397)</f>
        <v>0</v>
      </c>
      <c r="D275" s="411">
        <f>EmploymentType36[[#This Row],[Principal Outstanding Balance]]/EmploymentType36[[#Totals],[Principal Outstanding Balance]]</f>
        <v>0</v>
      </c>
      <c r="E275" s="412">
        <f>_xlfn.XLOOKUP(A275,INPUT_DATA!$CJ$4:$CJ$397,INPUT_DATA!$CM$4:$CM$397)</f>
        <v>0</v>
      </c>
      <c r="F275" s="411">
        <f>EmploymentType36[[#This Row],[Nb of Borrowers]]/EmploymentType36[[#Totals],[Nb of Borrowers]]</f>
        <v>0</v>
      </c>
    </row>
    <row r="276" spans="1:8" x14ac:dyDescent="0.25">
      <c r="A276" s="414" t="s">
        <v>472</v>
      </c>
      <c r="B276" s="409" t="s">
        <v>517</v>
      </c>
      <c r="C276" s="410">
        <f>_xlfn.XLOOKUP(A276,INPUT_DATA!$CJ$4:$CJ$397,INPUT_DATA!$CL$4:$CL$397)</f>
        <v>2643671.1999999993</v>
      </c>
      <c r="D276" s="411">
        <f>EmploymentType36[[#This Row],[Principal Outstanding Balance]]/EmploymentType36[[#Totals],[Principal Outstanding Balance]]</f>
        <v>3.8708646850053392E-3</v>
      </c>
      <c r="E276" s="412">
        <f>_xlfn.XLOOKUP(A276,INPUT_DATA!$CJ$4:$CJ$397,INPUT_DATA!$CM$4:$CM$397)</f>
        <v>13</v>
      </c>
      <c r="F276" s="411">
        <f>EmploymentType36[[#This Row],[Nb of Borrowers]]/EmploymentType36[[#Totals],[Nb of Borrowers]]</f>
        <v>4.0322580645161289E-3</v>
      </c>
    </row>
    <row r="277" spans="1:8" x14ac:dyDescent="0.25">
      <c r="A277" s="414" t="s">
        <v>473</v>
      </c>
      <c r="B277" s="409" t="s">
        <v>519</v>
      </c>
      <c r="C277" s="410">
        <f>_xlfn.XLOOKUP(A277,INPUT_DATA!$CJ$4:$CJ$397,INPUT_DATA!$CL$4:$CL$397)</f>
        <v>14218451.060000004</v>
      </c>
      <c r="D277" s="411">
        <f>EmploymentType36[[#This Row],[Principal Outstanding Balance]]/EmploymentType36[[#Totals],[Principal Outstanding Balance]]</f>
        <v>2.0818663108948934E-2</v>
      </c>
      <c r="E277" s="412">
        <f>_xlfn.XLOOKUP(A277,INPUT_DATA!$CJ$4:$CJ$397,INPUT_DATA!$CM$4:$CM$397)</f>
        <v>115</v>
      </c>
      <c r="F277" s="411">
        <f>EmploymentType36[[#This Row],[Nb of Borrowers]]/EmploymentType36[[#Totals],[Nb of Borrowers]]</f>
        <v>3.5669975186104215E-2</v>
      </c>
    </row>
    <row r="278" spans="1:8" x14ac:dyDescent="0.25">
      <c r="A278" s="414" t="s">
        <v>474</v>
      </c>
      <c r="B278" s="409" t="s">
        <v>370</v>
      </c>
      <c r="C278" s="410">
        <f>_xlfn.XLOOKUP(A278,INPUT_DATA!$CJ$4:$CJ$397,INPUT_DATA!$CL$4:$CL$397)</f>
        <v>4143473.1900000004</v>
      </c>
      <c r="D278" s="795">
        <f>EmploymentType36[[#This Row],[Principal Outstanding Balance]]/EmploymentType36[[#Totals],[Principal Outstanding Balance]]</f>
        <v>6.0668755041993969E-3</v>
      </c>
      <c r="E278" s="796">
        <f>_xlfn.XLOOKUP(A278,INPUT_DATA!$CJ$4:$CJ$397,INPUT_DATA!$CM$4:$CM$397)</f>
        <v>9</v>
      </c>
      <c r="F278" s="795">
        <f>EmploymentType36[[#This Row],[Nb of Borrowers]]/EmploymentType36[[#Totals],[Nb of Borrowers]]</f>
        <v>2.7915632754342431E-3</v>
      </c>
    </row>
    <row r="279" spans="1:8" x14ac:dyDescent="0.25">
      <c r="A279" s="414" t="s">
        <v>955</v>
      </c>
      <c r="B279" s="409" t="s">
        <v>1270</v>
      </c>
      <c r="C279" s="410">
        <f>_xlfn.XLOOKUP(A279,INPUT_DATA!$CJ$4:$CJ$397,INPUT_DATA!$CL$4:$CL$397)</f>
        <v>112658376.52999993</v>
      </c>
      <c r="D279" s="411">
        <f>EmploymentType36[[#This Row],[Principal Outstanding Balance]]/EmploymentType36[[#Totals],[Principal Outstanding Balance]]</f>
        <v>0.16495445090902802</v>
      </c>
      <c r="E279" s="412">
        <f>_xlfn.XLOOKUP(A279,INPUT_DATA!$CJ$4:$CJ$397,INPUT_DATA!$CM$4:$CM$397)</f>
        <v>614</v>
      </c>
      <c r="F279" s="411">
        <f>EmploymentType36[[#This Row],[Nb of Borrowers]]/EmploymentType36[[#Totals],[Nb of Borrowers]]</f>
        <v>0.19044665012406947</v>
      </c>
    </row>
    <row r="280" spans="1:8" x14ac:dyDescent="0.25">
      <c r="A280" s="414"/>
      <c r="B280" s="705" t="s">
        <v>2</v>
      </c>
      <c r="C280" s="792">
        <f>SUBTOTAL(109,EmploymentType36[Principal Outstanding Balance])</f>
        <v>682966575.98000038</v>
      </c>
      <c r="D280" s="793">
        <f>SUBTOTAL(109,EmploymentType36[% of Total (Amount)])</f>
        <v>0.99999999999999967</v>
      </c>
      <c r="E280" s="794">
        <f>SUBTOTAL(109,EmploymentType36[Nb of Borrowers])</f>
        <v>3224</v>
      </c>
      <c r="F280" s="793">
        <f>SUBTOTAL(109,EmploymentType36[% of Total (Number)])</f>
        <v>1.0000000000000002</v>
      </c>
    </row>
    <row r="281" spans="1:8" x14ac:dyDescent="0.25">
      <c r="A281" s="414"/>
      <c r="B281" s="409"/>
      <c r="C281" s="410"/>
      <c r="D281" s="411"/>
      <c r="E281" s="412"/>
      <c r="F281" s="411"/>
      <c r="H281" s="474" t="s">
        <v>654</v>
      </c>
    </row>
    <row r="282" spans="1:8" x14ac:dyDescent="0.25">
      <c r="A282" s="414"/>
      <c r="B282" s="407" t="s">
        <v>1379</v>
      </c>
      <c r="C282" s="407"/>
    </row>
    <row r="283" spans="1:8" ht="15" customHeight="1" x14ac:dyDescent="0.25">
      <c r="A283" s="414"/>
      <c r="B283" s="407"/>
      <c r="C283" s="407"/>
    </row>
    <row r="284" spans="1:8" ht="33" customHeight="1" x14ac:dyDescent="0.25">
      <c r="A284" s="414"/>
      <c r="B284" s="397" t="s">
        <v>529</v>
      </c>
      <c r="C284" s="397" t="s">
        <v>257</v>
      </c>
      <c r="D284" s="397" t="s">
        <v>289</v>
      </c>
      <c r="E284" s="397" t="s">
        <v>290</v>
      </c>
      <c r="F284" s="397" t="s">
        <v>291</v>
      </c>
      <c r="G284" s="408"/>
    </row>
    <row r="285" spans="1:8" x14ac:dyDescent="0.25">
      <c r="A285" s="414" t="s">
        <v>475</v>
      </c>
      <c r="B285" s="409" t="s">
        <v>530</v>
      </c>
      <c r="C285" s="410">
        <f>_xlfn.XLOOKUP(A285,INPUT_DATA!$CJ$4:$CJ$397,INPUT_DATA!$CL$4:$CL$397)</f>
        <v>3828312.02</v>
      </c>
      <c r="D285" s="411">
        <f>Top20Deb[[#This Row],[Principal Outstanding Balance]]/$C$26</f>
        <v>5.6054163624430593E-3</v>
      </c>
      <c r="E285" s="412">
        <f>_xlfn.XLOOKUP(A285,INPUT_DATA!$CJ$4:$CJ$397,INPUT_DATA!$CM$4:$CM$397)</f>
        <v>1</v>
      </c>
      <c r="F285" s="411">
        <f>Top20Deb[[#This Row],[Nb of Loans]]/$C$28</f>
        <v>2.7708506511499033E-4</v>
      </c>
    </row>
    <row r="286" spans="1:8" x14ac:dyDescent="0.25">
      <c r="A286" s="414" t="s">
        <v>476</v>
      </c>
      <c r="B286" s="409" t="s">
        <v>531</v>
      </c>
      <c r="C286" s="410">
        <f>_xlfn.XLOOKUP(A286,INPUT_DATA!$CJ$4:$CJ$397,INPUT_DATA!$CL$4:$CL$397)</f>
        <v>3604489.25</v>
      </c>
      <c r="D286" s="411">
        <f>Top20Deb[[#This Row],[Principal Outstanding Balance]]/$C$26</f>
        <v>5.2776949513639983E-3</v>
      </c>
      <c r="E286" s="412">
        <f>_xlfn.XLOOKUP(A286,INPUT_DATA!$CJ$4:$CJ$397,INPUT_DATA!$CM$4:$CM$397)</f>
        <v>2</v>
      </c>
      <c r="F286" s="411">
        <f>Top20Deb[[#This Row],[Nb of Loans]]/$C$28</f>
        <v>5.5417013022998065E-4</v>
      </c>
    </row>
    <row r="287" spans="1:8" x14ac:dyDescent="0.25">
      <c r="A287" s="414" t="s">
        <v>477</v>
      </c>
      <c r="B287" s="409" t="s">
        <v>532</v>
      </c>
      <c r="C287" s="410">
        <f>_xlfn.XLOOKUP(A287,INPUT_DATA!$CJ$4:$CJ$397,INPUT_DATA!$CL$4:$CL$397)</f>
        <v>3467674.92</v>
      </c>
      <c r="D287" s="411">
        <f>Top20Deb[[#This Row],[Principal Outstanding Balance]]/$C$26</f>
        <v>5.0773713413781313E-3</v>
      </c>
      <c r="E287" s="412">
        <f>_xlfn.XLOOKUP(A287,INPUT_DATA!$CJ$4:$CJ$397,INPUT_DATA!$CM$4:$CM$397)</f>
        <v>2</v>
      </c>
      <c r="F287" s="411">
        <f>Top20Deb[[#This Row],[Nb of Loans]]/$C$28</f>
        <v>5.5417013022998065E-4</v>
      </c>
    </row>
    <row r="288" spans="1:8" x14ac:dyDescent="0.25">
      <c r="A288" s="414" t="s">
        <v>478</v>
      </c>
      <c r="B288" s="409" t="s">
        <v>533</v>
      </c>
      <c r="C288" s="410">
        <f>_xlfn.XLOOKUP(A288,INPUT_DATA!$CJ$4:$CJ$397,INPUT_DATA!$CL$4:$CL$397)</f>
        <v>3394193.37</v>
      </c>
      <c r="D288" s="411">
        <f>Top20Deb[[#This Row],[Principal Outstanding Balance]]/$C$26</f>
        <v>4.9697796193461131E-3</v>
      </c>
      <c r="E288" s="412">
        <f>_xlfn.XLOOKUP(A288,INPUT_DATA!$CJ$4:$CJ$397,INPUT_DATA!$CM$4:$CM$397)</f>
        <v>1</v>
      </c>
      <c r="F288" s="411">
        <f>Top20Deb[[#This Row],[Nb of Loans]]/$C$28</f>
        <v>2.7708506511499033E-4</v>
      </c>
    </row>
    <row r="289" spans="1:6" x14ac:dyDescent="0.25">
      <c r="A289" s="414" t="s">
        <v>479</v>
      </c>
      <c r="B289" s="409" t="s">
        <v>534</v>
      </c>
      <c r="C289" s="410">
        <f>_xlfn.XLOOKUP(A289,INPUT_DATA!$CJ$4:$CJ$397,INPUT_DATA!$CL$4:$CL$397)</f>
        <v>3373291.07</v>
      </c>
      <c r="D289" s="411">
        <f>Top20Deb[[#This Row],[Principal Outstanding Balance]]/$C$26</f>
        <v>4.939174461297189E-3</v>
      </c>
      <c r="E289" s="412">
        <f>_xlfn.XLOOKUP(A289,INPUT_DATA!$CJ$4:$CJ$397,INPUT_DATA!$CM$4:$CM$397)</f>
        <v>1</v>
      </c>
      <c r="F289" s="411">
        <f>Top20Deb[[#This Row],[Nb of Loans]]/$C$28</f>
        <v>2.7708506511499033E-4</v>
      </c>
    </row>
    <row r="290" spans="1:6" x14ac:dyDescent="0.25">
      <c r="A290" s="414" t="s">
        <v>480</v>
      </c>
      <c r="B290" s="409" t="s">
        <v>535</v>
      </c>
      <c r="C290" s="410">
        <f>_xlfn.XLOOKUP(A290,INPUT_DATA!$CJ$4:$CJ$397,INPUT_DATA!$CL$4:$CL$397)</f>
        <v>3325410.71</v>
      </c>
      <c r="D290" s="411">
        <f>Top20Deb[[#This Row],[Principal Outstanding Balance]]/$C$26</f>
        <v>4.86906801438755E-3</v>
      </c>
      <c r="E290" s="412">
        <f>_xlfn.XLOOKUP(A290,INPUT_DATA!$CJ$4:$CJ$397,INPUT_DATA!$CM$4:$CM$397)</f>
        <v>1</v>
      </c>
      <c r="F290" s="411">
        <f>Top20Deb[[#This Row],[Nb of Loans]]/$C$28</f>
        <v>2.7708506511499033E-4</v>
      </c>
    </row>
    <row r="291" spans="1:6" x14ac:dyDescent="0.25">
      <c r="A291" s="414" t="s">
        <v>481</v>
      </c>
      <c r="B291" s="409" t="s">
        <v>536</v>
      </c>
      <c r="C291" s="410">
        <f>_xlfn.XLOOKUP(A291,INPUT_DATA!$CJ$4:$CJ$397,INPUT_DATA!$CL$4:$CL$397)</f>
        <v>2909587.88</v>
      </c>
      <c r="D291" s="411">
        <f>Top20Deb[[#This Row],[Principal Outstanding Balance]]/$C$26</f>
        <v>4.2602200200280464E-3</v>
      </c>
      <c r="E291" s="412">
        <f>_xlfn.XLOOKUP(A291,INPUT_DATA!$CJ$4:$CJ$397,INPUT_DATA!$CM$4:$CM$397)</f>
        <v>1</v>
      </c>
      <c r="F291" s="411">
        <f>Top20Deb[[#This Row],[Nb of Loans]]/$C$28</f>
        <v>2.7708506511499033E-4</v>
      </c>
    </row>
    <row r="292" spans="1:6" x14ac:dyDescent="0.25">
      <c r="A292" s="414" t="s">
        <v>482</v>
      </c>
      <c r="B292" s="409" t="s">
        <v>537</v>
      </c>
      <c r="C292" s="410">
        <f>_xlfn.XLOOKUP(A292,INPUT_DATA!$CJ$4:$CJ$397,INPUT_DATA!$CL$4:$CL$397)</f>
        <v>2681961.44</v>
      </c>
      <c r="D292" s="411">
        <f>Top20Deb[[#This Row],[Principal Outstanding Balance]]/$C$26</f>
        <v>3.9269292734444745E-3</v>
      </c>
      <c r="E292" s="412">
        <f>_xlfn.XLOOKUP(A292,INPUT_DATA!$CJ$4:$CJ$397,INPUT_DATA!$CM$4:$CM$397)</f>
        <v>2</v>
      </c>
      <c r="F292" s="411">
        <f>Top20Deb[[#This Row],[Nb of Loans]]/$C$28</f>
        <v>5.5417013022998065E-4</v>
      </c>
    </row>
    <row r="293" spans="1:6" x14ac:dyDescent="0.25">
      <c r="A293" s="414" t="s">
        <v>483</v>
      </c>
      <c r="B293" s="409" t="s">
        <v>538</v>
      </c>
      <c r="C293" s="410">
        <f>_xlfn.XLOOKUP(A293,INPUT_DATA!$CJ$4:$CJ$397,INPUT_DATA!$CL$4:$CL$397)</f>
        <v>2602767.38</v>
      </c>
      <c r="D293" s="411">
        <f>Top20Deb[[#This Row],[Principal Outstanding Balance]]/$C$26</f>
        <v>3.8109732914312065E-3</v>
      </c>
      <c r="E293" s="412">
        <f>_xlfn.XLOOKUP(A293,INPUT_DATA!$CJ$4:$CJ$397,INPUT_DATA!$CM$4:$CM$397)</f>
        <v>2</v>
      </c>
      <c r="F293" s="411">
        <f>Top20Deb[[#This Row],[Nb of Loans]]/$C$28</f>
        <v>5.5417013022998065E-4</v>
      </c>
    </row>
    <row r="294" spans="1:6" x14ac:dyDescent="0.25">
      <c r="A294" s="414" t="s">
        <v>484</v>
      </c>
      <c r="B294" s="409" t="s">
        <v>539</v>
      </c>
      <c r="C294" s="410">
        <f>_xlfn.XLOOKUP(A294,INPUT_DATA!$CJ$4:$CJ$397,INPUT_DATA!$CL$4:$CL$397)</f>
        <v>2433456.09</v>
      </c>
      <c r="D294" s="411">
        <f>Top20Deb[[#This Row],[Principal Outstanding Balance]]/$C$26</f>
        <v>3.563067616461604E-3</v>
      </c>
      <c r="E294" s="412">
        <f>_xlfn.XLOOKUP(A294,INPUT_DATA!$CJ$4:$CJ$397,INPUT_DATA!$CM$4:$CM$397)</f>
        <v>1</v>
      </c>
      <c r="F294" s="411">
        <f>Top20Deb[[#This Row],[Nb of Loans]]/$C$28</f>
        <v>2.7708506511499033E-4</v>
      </c>
    </row>
    <row r="295" spans="1:6" x14ac:dyDescent="0.25">
      <c r="A295" s="414" t="s">
        <v>485</v>
      </c>
      <c r="B295" s="409" t="s">
        <v>540</v>
      </c>
      <c r="C295" s="410">
        <f>_xlfn.XLOOKUP(A295,INPUT_DATA!$CJ$4:$CJ$397,INPUT_DATA!$CL$4:$CL$397)</f>
        <v>2396490.9500000002</v>
      </c>
      <c r="D295" s="411">
        <f>Top20Deb[[#This Row],[Principal Outstanding Balance]]/$C$26</f>
        <v>3.5089432401010801E-3</v>
      </c>
      <c r="E295" s="412">
        <f>_xlfn.XLOOKUP(A295,INPUT_DATA!$CJ$4:$CJ$397,INPUT_DATA!$CM$4:$CM$397)</f>
        <v>2</v>
      </c>
      <c r="F295" s="411">
        <f>Top20Deb[[#This Row],[Nb of Loans]]/$C$28</f>
        <v>5.5417013022998065E-4</v>
      </c>
    </row>
    <row r="296" spans="1:6" x14ac:dyDescent="0.25">
      <c r="A296" s="414" t="s">
        <v>486</v>
      </c>
      <c r="B296" s="409" t="s">
        <v>541</v>
      </c>
      <c r="C296" s="410">
        <f>_xlfn.XLOOKUP(A296,INPUT_DATA!$CJ$4:$CJ$397,INPUT_DATA!$CL$4:$CL$397)</f>
        <v>2340392.25</v>
      </c>
      <c r="D296" s="411">
        <f>Top20Deb[[#This Row],[Principal Outstanding Balance]]/$C$26</f>
        <v>3.4268034956787367E-3</v>
      </c>
      <c r="E296" s="412">
        <f>_xlfn.XLOOKUP(A296,INPUT_DATA!$CJ$4:$CJ$397,INPUT_DATA!$CM$4:$CM$397)</f>
        <v>1</v>
      </c>
      <c r="F296" s="411">
        <f>Top20Deb[[#This Row],[Nb of Loans]]/$C$28</f>
        <v>2.7708506511499033E-4</v>
      </c>
    </row>
    <row r="297" spans="1:6" x14ac:dyDescent="0.25">
      <c r="A297" s="414" t="s">
        <v>487</v>
      </c>
      <c r="B297" s="409" t="s">
        <v>542</v>
      </c>
      <c r="C297" s="410">
        <f>_xlfn.XLOOKUP(A297,INPUT_DATA!$CJ$4:$CJ$397,INPUT_DATA!$CL$4:$CL$397)</f>
        <v>2295238.25</v>
      </c>
      <c r="D297" s="411">
        <f>Top20Deb[[#This Row],[Principal Outstanding Balance]]/$C$26</f>
        <v>3.3606889864361612E-3</v>
      </c>
      <c r="E297" s="412">
        <f>_xlfn.XLOOKUP(A297,INPUT_DATA!$CJ$4:$CJ$397,INPUT_DATA!$CM$4:$CM$397)</f>
        <v>2</v>
      </c>
      <c r="F297" s="411">
        <f>Top20Deb[[#This Row],[Nb of Loans]]/$C$28</f>
        <v>5.5417013022998065E-4</v>
      </c>
    </row>
    <row r="298" spans="1:6" x14ac:dyDescent="0.25">
      <c r="A298" s="414" t="s">
        <v>488</v>
      </c>
      <c r="B298" s="409" t="s">
        <v>543</v>
      </c>
      <c r="C298" s="410">
        <f>_xlfn.XLOOKUP(A298,INPUT_DATA!$CJ$4:$CJ$397,INPUT_DATA!$CL$4:$CL$397)</f>
        <v>2072934.9100000001</v>
      </c>
      <c r="D298" s="411">
        <f>Top20Deb[[#This Row],[Principal Outstanding Balance]]/$C$26</f>
        <v>3.0351923255182919E-3</v>
      </c>
      <c r="E298" s="412">
        <f>_xlfn.XLOOKUP(A298,INPUT_DATA!$CJ$4:$CJ$397,INPUT_DATA!$CM$4:$CM$397)</f>
        <v>2</v>
      </c>
      <c r="F298" s="411">
        <f>Top20Deb[[#This Row],[Nb of Loans]]/$C$28</f>
        <v>5.5417013022998065E-4</v>
      </c>
    </row>
    <row r="299" spans="1:6" x14ac:dyDescent="0.25">
      <c r="A299" s="414" t="s">
        <v>489</v>
      </c>
      <c r="B299" s="409" t="s">
        <v>544</v>
      </c>
      <c r="C299" s="410">
        <f>_xlfn.XLOOKUP(A299,INPUT_DATA!$CJ$4:$CJ$397,INPUT_DATA!$CL$4:$CL$397)</f>
        <v>2037880.19</v>
      </c>
      <c r="D299" s="411">
        <f>Top20Deb[[#This Row],[Principal Outstanding Balance]]/$C$26</f>
        <v>2.9838651870712904E-3</v>
      </c>
      <c r="E299" s="412">
        <f>_xlfn.XLOOKUP(A299,INPUT_DATA!$CJ$4:$CJ$397,INPUT_DATA!$CM$4:$CM$397)</f>
        <v>2</v>
      </c>
      <c r="F299" s="411">
        <f>Top20Deb[[#This Row],[Nb of Loans]]/$C$28</f>
        <v>5.5417013022998065E-4</v>
      </c>
    </row>
    <row r="300" spans="1:6" x14ac:dyDescent="0.25">
      <c r="A300" s="414" t="s">
        <v>957</v>
      </c>
      <c r="B300" s="409" t="s">
        <v>545</v>
      </c>
      <c r="C300" s="410">
        <f>_xlfn.XLOOKUP(A300,INPUT_DATA!$CJ$4:$CJ$397,INPUT_DATA!$CL$4:$CL$397)</f>
        <v>2000000</v>
      </c>
      <c r="D300" s="411">
        <f>Top20Deb[[#This Row],[Principal Outstanding Balance]]/$C$26</f>
        <v>2.9284009940459652E-3</v>
      </c>
      <c r="E300" s="412">
        <f>_xlfn.XLOOKUP(A300,INPUT_DATA!$CJ$4:$CJ$397,INPUT_DATA!$CM$4:$CM$397)</f>
        <v>1</v>
      </c>
      <c r="F300" s="411">
        <f>Top20Deb[[#This Row],[Nb of Loans]]/$C$28</f>
        <v>2.7708506511499033E-4</v>
      </c>
    </row>
    <row r="301" spans="1:6" x14ac:dyDescent="0.25">
      <c r="A301" s="414" t="s">
        <v>958</v>
      </c>
      <c r="B301" s="409" t="s">
        <v>546</v>
      </c>
      <c r="C301" s="410">
        <f>_xlfn.XLOOKUP(A301,INPUT_DATA!$CJ$4:$CJ$397,INPUT_DATA!$CL$4:$CL$397)</f>
        <v>1910361.84</v>
      </c>
      <c r="D301" s="411">
        <f>Top20Deb[[#This Row],[Principal Outstanding Balance]]/$C$26</f>
        <v>2.7971527556217399E-3</v>
      </c>
      <c r="E301" s="412">
        <f>_xlfn.XLOOKUP(A301,INPUT_DATA!$CJ$4:$CJ$397,INPUT_DATA!$CM$4:$CM$397)</f>
        <v>1</v>
      </c>
      <c r="F301" s="411">
        <f>Top20Deb[[#This Row],[Nb of Loans]]/$C$28</f>
        <v>2.7708506511499033E-4</v>
      </c>
    </row>
    <row r="302" spans="1:6" x14ac:dyDescent="0.25">
      <c r="A302" s="414" t="s">
        <v>959</v>
      </c>
      <c r="B302" s="409" t="s">
        <v>547</v>
      </c>
      <c r="C302" s="410">
        <f>_xlfn.XLOOKUP(A302,INPUT_DATA!$CJ$4:$CJ$397,INPUT_DATA!$CL$4:$CL$397)</f>
        <v>1889537</v>
      </c>
      <c r="D302" s="411">
        <f>Top20Deb[[#This Row],[Principal Outstanding Balance]]/$C$26</f>
        <v>2.7666610145433155E-3</v>
      </c>
      <c r="E302" s="412">
        <f>_xlfn.XLOOKUP(A302,INPUT_DATA!$CJ$4:$CJ$397,INPUT_DATA!$CM$4:$CM$397)</f>
        <v>2</v>
      </c>
      <c r="F302" s="411">
        <f>Top20Deb[[#This Row],[Nb of Loans]]/$C$28</f>
        <v>5.5417013022998065E-4</v>
      </c>
    </row>
    <row r="303" spans="1:6" x14ac:dyDescent="0.25">
      <c r="A303" s="414" t="s">
        <v>960</v>
      </c>
      <c r="B303" s="409" t="s">
        <v>548</v>
      </c>
      <c r="C303" s="410">
        <f>_xlfn.XLOOKUP(A303,INPUT_DATA!$CJ$4:$CJ$397,INPUT_DATA!$CL$4:$CL$397)</f>
        <v>1858061.96</v>
      </c>
      <c r="D303" s="411">
        <f>Top20Deb[[#This Row],[Principal Outstanding Balance]]/$C$26</f>
        <v>2.7205752453314971E-3</v>
      </c>
      <c r="E303" s="412">
        <f>_xlfn.XLOOKUP(A303,INPUT_DATA!$CJ$4:$CJ$397,INPUT_DATA!$CM$4:$CM$397)</f>
        <v>2</v>
      </c>
      <c r="F303" s="411">
        <f>Top20Deb[[#This Row],[Nb of Loans]]/$C$28</f>
        <v>5.5417013022998065E-4</v>
      </c>
    </row>
    <row r="304" spans="1:6" x14ac:dyDescent="0.25">
      <c r="A304" s="414" t="s">
        <v>961</v>
      </c>
      <c r="B304" s="409" t="s">
        <v>549</v>
      </c>
      <c r="C304" s="410">
        <f>_xlfn.XLOOKUP(A304,INPUT_DATA!$CJ$4:$CJ$397,INPUT_DATA!$CL$4:$CL$397)</f>
        <v>1835763.88</v>
      </c>
      <c r="D304" s="411">
        <f>Top20Deb[[#This Row],[Principal Outstanding Balance]]/$C$26</f>
        <v>2.6879263855128389E-3</v>
      </c>
      <c r="E304" s="412">
        <f>_xlfn.XLOOKUP(A304,INPUT_DATA!$CJ$4:$CJ$397,INPUT_DATA!$CM$4:$CM$397)</f>
        <v>2</v>
      </c>
      <c r="F304" s="411">
        <f>Top20Deb[[#This Row],[Nb of Loans]]/$C$28</f>
        <v>5.5417013022998065E-4</v>
      </c>
    </row>
    <row r="305" spans="1:8" x14ac:dyDescent="0.25">
      <c r="A305" s="414"/>
      <c r="B305" s="705" t="s">
        <v>2</v>
      </c>
      <c r="C305" s="792">
        <f>SUBTOTAL(109,Top20Deb[Principal Outstanding Balance])</f>
        <v>52257805.359999999</v>
      </c>
      <c r="D305" s="793">
        <f>SUBTOTAL(109,Top20Deb[% of Total (Amount)])</f>
        <v>7.6515904581442293E-2</v>
      </c>
      <c r="E305" s="794">
        <f>SUBTOTAL(109,Top20Deb[Nb of Loans])</f>
        <v>31</v>
      </c>
      <c r="F305" s="793">
        <f>SUBTOTAL(109,Top20Deb[% of Total (Number)])</f>
        <v>8.5896370185647025E-3</v>
      </c>
    </row>
    <row r="306" spans="1:8" x14ac:dyDescent="0.25">
      <c r="A306" s="414"/>
      <c r="B306" s="409"/>
      <c r="C306" s="410"/>
      <c r="D306" s="411"/>
      <c r="E306" s="412"/>
      <c r="F306" s="411"/>
      <c r="H306" s="474" t="s">
        <v>654</v>
      </c>
    </row>
    <row r="307" spans="1:8" x14ac:dyDescent="0.25">
      <c r="A307" s="414"/>
      <c r="B307" s="407" t="s">
        <v>1372</v>
      </c>
      <c r="C307" s="407"/>
    </row>
    <row r="308" spans="1:8" ht="15" customHeight="1" x14ac:dyDescent="0.25">
      <c r="A308" s="414"/>
      <c r="B308" s="407"/>
      <c r="C308" s="407"/>
    </row>
    <row r="309" spans="1:8" ht="33" customHeight="1" x14ac:dyDescent="0.25">
      <c r="A309" s="414"/>
      <c r="B309" s="397" t="s">
        <v>529</v>
      </c>
      <c r="C309" s="397" t="s">
        <v>257</v>
      </c>
      <c r="D309" s="397" t="s">
        <v>289</v>
      </c>
      <c r="E309" s="397" t="s">
        <v>290</v>
      </c>
      <c r="F309" s="397" t="s">
        <v>291</v>
      </c>
      <c r="G309" s="408"/>
    </row>
    <row r="310" spans="1:8" x14ac:dyDescent="0.25">
      <c r="A310" s="414" t="s">
        <v>491</v>
      </c>
      <c r="B310" s="409" t="s">
        <v>1271</v>
      </c>
      <c r="C310" s="410">
        <f>_xlfn.XLOOKUP(A310,INPUT_DATA!$CJ$4:$CJ$397,INPUT_DATA!$CL$4:$CL$397)</f>
        <v>466956251.76999998</v>
      </c>
      <c r="D310" s="411">
        <f>Top20Deb37[[#This Row],[Principal Outstanding Balance]]/Top20Deb37[[#Totals],[Principal Outstanding Balance]]</f>
        <v>0.27892869533868875</v>
      </c>
      <c r="E310" s="412">
        <f>_xlfn.XLOOKUP(A310,INPUT_DATA!$CJ$4:$CJ$397,INPUT_DATA!$CM$4:$CM$397)</f>
        <v>598</v>
      </c>
      <c r="F310" s="411">
        <f>Top20Deb37[[#This Row],[Nb of Loans]]/Top20Deb37[[#Totals],[Nb of Loans]]</f>
        <v>0.1656968689387642</v>
      </c>
    </row>
    <row r="311" spans="1:8" x14ac:dyDescent="0.25">
      <c r="A311" s="414" t="s">
        <v>493</v>
      </c>
      <c r="B311" s="409" t="s">
        <v>1272</v>
      </c>
      <c r="C311" s="410">
        <f>_xlfn.XLOOKUP(A311,INPUT_DATA!$CJ$4:$CJ$397,INPUT_DATA!$CL$4:$CL$397)</f>
        <v>21298520.059999999</v>
      </c>
      <c r="D311" s="795">
        <f>Top20Deb37[[#This Row],[Principal Outstanding Balance]]/Top20Deb37[[#Totals],[Principal Outstanding Balance]]</f>
        <v>1.2722323323570846E-2</v>
      </c>
      <c r="E311" s="796">
        <f>_xlfn.XLOOKUP(A311,INPUT_DATA!$CJ$4:$CJ$397,INPUT_DATA!$CM$4:$CM$397)</f>
        <v>64</v>
      </c>
      <c r="F311" s="795">
        <f>Top20Deb37[[#This Row],[Nb of Loans]]/Top20Deb37[[#Totals],[Nb of Loans]]</f>
        <v>1.7733444167359381E-2</v>
      </c>
    </row>
    <row r="312" spans="1:8" x14ac:dyDescent="0.25">
      <c r="A312" s="414" t="s">
        <v>495</v>
      </c>
      <c r="B312" s="409" t="s">
        <v>1273</v>
      </c>
      <c r="C312" s="410">
        <f>_xlfn.XLOOKUP(A312,INPUT_DATA!$CJ$4:$CJ$397,INPUT_DATA!$CL$4:$CL$397)</f>
        <v>94539620.25999999</v>
      </c>
      <c r="D312" s="795">
        <f>Top20Deb37[[#This Row],[Principal Outstanding Balance]]/Top20Deb37[[#Totals],[Principal Outstanding Balance]]</f>
        <v>5.6471699087402641E-2</v>
      </c>
      <c r="E312" s="796">
        <f>_xlfn.XLOOKUP(A312,INPUT_DATA!$CJ$4:$CJ$397,INPUT_DATA!$CM$4:$CM$397)</f>
        <v>153</v>
      </c>
      <c r="F312" s="795">
        <f>Top20Deb37[[#This Row],[Nb of Loans]]/Top20Deb37[[#Totals],[Nb of Loans]]</f>
        <v>4.2394014962593519E-2</v>
      </c>
    </row>
    <row r="313" spans="1:8" x14ac:dyDescent="0.25">
      <c r="A313" s="414" t="s">
        <v>497</v>
      </c>
      <c r="B313" s="409" t="s">
        <v>1274</v>
      </c>
      <c r="C313" s="410">
        <f>_xlfn.XLOOKUP(A313,INPUT_DATA!$CJ$4:$CJ$397,INPUT_DATA!$CL$4:$CL$397)</f>
        <v>23892795</v>
      </c>
      <c r="D313" s="795">
        <f>Top20Deb37[[#This Row],[Principal Outstanding Balance]]/Top20Deb37[[#Totals],[Principal Outstanding Balance]]</f>
        <v>1.4271971115245502E-2</v>
      </c>
      <c r="E313" s="796">
        <f>_xlfn.XLOOKUP(A313,INPUT_DATA!$CJ$4:$CJ$397,INPUT_DATA!$CM$4:$CM$397)</f>
        <v>65</v>
      </c>
      <c r="F313" s="795">
        <f>Top20Deb37[[#This Row],[Nb of Loans]]/Top20Deb37[[#Totals],[Nb of Loans]]</f>
        <v>1.801052923247437E-2</v>
      </c>
    </row>
    <row r="314" spans="1:8" x14ac:dyDescent="0.25">
      <c r="A314" s="414" t="s">
        <v>499</v>
      </c>
      <c r="B314" s="409" t="s">
        <v>1275</v>
      </c>
      <c r="C314" s="410">
        <f>_xlfn.XLOOKUP(A314,INPUT_DATA!$CJ$4:$CJ$397,INPUT_DATA!$CL$4:$CL$397)</f>
        <v>198126213.78999999</v>
      </c>
      <c r="D314" s="795">
        <f>Top20Deb37[[#This Row],[Principal Outstanding Balance]]/Top20Deb37[[#Totals],[Principal Outstanding Balance]]</f>
        <v>0.11834745999301609</v>
      </c>
      <c r="E314" s="796">
        <f>_xlfn.XLOOKUP(A314,INPUT_DATA!$CJ$4:$CJ$397,INPUT_DATA!$CM$4:$CM$397)</f>
        <v>324</v>
      </c>
      <c r="F314" s="795">
        <f>Top20Deb37[[#This Row],[Nb of Loans]]/Top20Deb37[[#Totals],[Nb of Loans]]</f>
        <v>8.9775561097256859E-2</v>
      </c>
    </row>
    <row r="315" spans="1:8" x14ac:dyDescent="0.25">
      <c r="A315" s="414" t="s">
        <v>967</v>
      </c>
      <c r="B315" s="409" t="s">
        <v>1276</v>
      </c>
      <c r="C315" s="410">
        <f>_xlfn.XLOOKUP(A315,INPUT_DATA!$CJ$4:$CJ$397,INPUT_DATA!$CL$4:$CL$397)</f>
        <v>41375193.859999999</v>
      </c>
      <c r="D315" s="795">
        <f>Top20Deb37[[#This Row],[Principal Outstanding Balance]]/Top20Deb37[[#Totals],[Principal Outstanding Balance]]</f>
        <v>2.471479672669535E-2</v>
      </c>
      <c r="E315" s="796">
        <f>_xlfn.XLOOKUP(A315,INPUT_DATA!$CJ$4:$CJ$397,INPUT_DATA!$CM$4:$CM$397)</f>
        <v>134</v>
      </c>
      <c r="F315" s="795">
        <f>Top20Deb37[[#This Row],[Nb of Loans]]/Top20Deb37[[#Totals],[Nb of Loans]]</f>
        <v>3.7129398725408699E-2</v>
      </c>
    </row>
    <row r="316" spans="1:8" x14ac:dyDescent="0.25">
      <c r="A316" s="414" t="s">
        <v>969</v>
      </c>
      <c r="B316" s="409" t="s">
        <v>1277</v>
      </c>
      <c r="C316" s="410">
        <f>_xlfn.XLOOKUP(A316,INPUT_DATA!$CJ$4:$CJ$397,INPUT_DATA!$CL$4:$CL$397)</f>
        <v>66900567</v>
      </c>
      <c r="D316" s="795">
        <f>Top20Deb37[[#This Row],[Principal Outstanding Balance]]/Top20Deb37[[#Totals],[Principal Outstanding Balance]]</f>
        <v>3.996196174694281E-2</v>
      </c>
      <c r="E316" s="796">
        <f>_xlfn.XLOOKUP(A316,INPUT_DATA!$CJ$4:$CJ$397,INPUT_DATA!$CM$4:$CM$397)</f>
        <v>144</v>
      </c>
      <c r="F316" s="795">
        <f>Top20Deb37[[#This Row],[Nb of Loans]]/Top20Deb37[[#Totals],[Nb of Loans]]</f>
        <v>3.9900249376558602E-2</v>
      </c>
    </row>
    <row r="317" spans="1:8" x14ac:dyDescent="0.25">
      <c r="A317" s="414" t="s">
        <v>971</v>
      </c>
      <c r="B317" s="409" t="s">
        <v>1278</v>
      </c>
      <c r="C317" s="410">
        <f>_xlfn.XLOOKUP(A317,INPUT_DATA!$CJ$4:$CJ$397,INPUT_DATA!$CL$4:$CL$397)</f>
        <v>25334074.109999999</v>
      </c>
      <c r="D317" s="795">
        <f>Top20Deb37[[#This Row],[Principal Outstanding Balance]]/Top20Deb37[[#Totals],[Principal Outstanding Balance]]</f>
        <v>1.5132895667058161E-2</v>
      </c>
      <c r="E317" s="796">
        <f>_xlfn.XLOOKUP(A317,INPUT_DATA!$CJ$4:$CJ$397,INPUT_DATA!$CM$4:$CM$397)</f>
        <v>90</v>
      </c>
      <c r="F317" s="795">
        <f>Top20Deb37[[#This Row],[Nb of Loans]]/Top20Deb37[[#Totals],[Nb of Loans]]</f>
        <v>2.4937655860349128E-2</v>
      </c>
    </row>
    <row r="318" spans="1:8" x14ac:dyDescent="0.25">
      <c r="A318" s="414" t="s">
        <v>973</v>
      </c>
      <c r="B318" s="409" t="s">
        <v>1279</v>
      </c>
      <c r="C318" s="410">
        <f>_xlfn.XLOOKUP(A318,INPUT_DATA!$CJ$4:$CJ$397,INPUT_DATA!$CL$4:$CL$397)</f>
        <v>225233</v>
      </c>
      <c r="D318" s="795">
        <f>Top20Deb37[[#This Row],[Principal Outstanding Balance]]/Top20Deb37[[#Totals],[Principal Outstanding Balance]]</f>
        <v>1.3453925629881687E-4</v>
      </c>
      <c r="E318" s="796">
        <f>_xlfn.XLOOKUP(A318,INPUT_DATA!$CJ$4:$CJ$397,INPUT_DATA!$CM$4:$CM$397)</f>
        <v>1</v>
      </c>
      <c r="F318" s="795">
        <f>Top20Deb37[[#This Row],[Nb of Loans]]/Top20Deb37[[#Totals],[Nb of Loans]]</f>
        <v>2.7708506511499033E-4</v>
      </c>
    </row>
    <row r="319" spans="1:8" x14ac:dyDescent="0.25">
      <c r="A319" s="414" t="s">
        <v>975</v>
      </c>
      <c r="B319" s="409" t="s">
        <v>1280</v>
      </c>
      <c r="C319" s="410">
        <f>_xlfn.XLOOKUP(A319,INPUT_DATA!$CJ$4:$CJ$397,INPUT_DATA!$CL$4:$CL$397)</f>
        <v>3614463</v>
      </c>
      <c r="D319" s="795">
        <f>Top20Deb37[[#This Row],[Principal Outstanding Balance]]/Top20Deb37[[#Totals],[Principal Outstanding Balance]]</f>
        <v>2.1590404778144877E-3</v>
      </c>
      <c r="E319" s="796">
        <f>_xlfn.XLOOKUP(A319,INPUT_DATA!$CJ$4:$CJ$397,INPUT_DATA!$CM$4:$CM$397)</f>
        <v>16</v>
      </c>
      <c r="F319" s="795">
        <f>Top20Deb37[[#This Row],[Nb of Loans]]/Top20Deb37[[#Totals],[Nb of Loans]]</f>
        <v>4.4333610418398452E-3</v>
      </c>
    </row>
    <row r="320" spans="1:8" x14ac:dyDescent="0.25">
      <c r="A320" s="414" t="s">
        <v>977</v>
      </c>
      <c r="B320" s="409" t="s">
        <v>1281</v>
      </c>
      <c r="C320" s="410">
        <f>_xlfn.XLOOKUP(A320,INPUT_DATA!$CJ$4:$CJ$397,INPUT_DATA!$CL$4:$CL$397)</f>
        <v>0</v>
      </c>
      <c r="D320" s="795">
        <f>Top20Deb37[[#This Row],[Principal Outstanding Balance]]/Top20Deb37[[#Totals],[Principal Outstanding Balance]]</f>
        <v>0</v>
      </c>
      <c r="E320" s="796">
        <f>_xlfn.XLOOKUP(A320,INPUT_DATA!$CJ$4:$CJ$397,INPUT_DATA!$CM$4:$CM$397)</f>
        <v>0</v>
      </c>
      <c r="F320" s="795">
        <f>Top20Deb37[[#This Row],[Nb of Loans]]/Top20Deb37[[#Totals],[Nb of Loans]]</f>
        <v>0</v>
      </c>
    </row>
    <row r="321" spans="1:6" x14ac:dyDescent="0.25">
      <c r="A321" s="414" t="s">
        <v>979</v>
      </c>
      <c r="B321" s="409" t="s">
        <v>1282</v>
      </c>
      <c r="C321" s="410">
        <f>_xlfn.XLOOKUP(A321,INPUT_DATA!$CJ$4:$CJ$397,INPUT_DATA!$CL$4:$CL$397)</f>
        <v>5318037</v>
      </c>
      <c r="D321" s="795">
        <f>Top20Deb37[[#This Row],[Principal Outstanding Balance]]/Top20Deb37[[#Totals],[Principal Outstanding Balance]]</f>
        <v>3.1766426009935986E-3</v>
      </c>
      <c r="E321" s="796">
        <f>_xlfn.XLOOKUP(A321,INPUT_DATA!$CJ$4:$CJ$397,INPUT_DATA!$CM$4:$CM$397)</f>
        <v>22</v>
      </c>
      <c r="F321" s="795">
        <f>Top20Deb37[[#This Row],[Nb of Loans]]/Top20Deb37[[#Totals],[Nb of Loans]]</f>
        <v>6.0958714325297864E-3</v>
      </c>
    </row>
    <row r="322" spans="1:6" x14ac:dyDescent="0.25">
      <c r="A322" s="414" t="s">
        <v>981</v>
      </c>
      <c r="B322" s="409" t="s">
        <v>1283</v>
      </c>
      <c r="C322" s="410">
        <f>_xlfn.XLOOKUP(A322,INPUT_DATA!$CJ$4:$CJ$397,INPUT_DATA!$CL$4:$CL$397)</f>
        <v>411000</v>
      </c>
      <c r="D322" s="795">
        <f>Top20Deb37[[#This Row],[Principal Outstanding Balance]]/Top20Deb37[[#Totals],[Principal Outstanding Balance]]</f>
        <v>2.4550414166136283E-4</v>
      </c>
      <c r="E322" s="796">
        <f>_xlfn.XLOOKUP(A322,INPUT_DATA!$CJ$4:$CJ$397,INPUT_DATA!$CM$4:$CM$397)</f>
        <v>2</v>
      </c>
      <c r="F322" s="795">
        <f>Top20Deb37[[#This Row],[Nb of Loans]]/Top20Deb37[[#Totals],[Nb of Loans]]</f>
        <v>5.5417013022998065E-4</v>
      </c>
    </row>
    <row r="323" spans="1:6" x14ac:dyDescent="0.25">
      <c r="A323" s="414" t="s">
        <v>983</v>
      </c>
      <c r="B323" s="409" t="s">
        <v>1284</v>
      </c>
      <c r="C323" s="410">
        <f>_xlfn.XLOOKUP(A323,INPUT_DATA!$CJ$4:$CJ$397,INPUT_DATA!$CL$4:$CL$397)</f>
        <v>2012812</v>
      </c>
      <c r="D323" s="795">
        <f>Top20Deb37[[#This Row],[Principal Outstanding Balance]]/Top20Deb37[[#Totals],[Principal Outstanding Balance]]</f>
        <v>1.2023203950990049E-3</v>
      </c>
      <c r="E323" s="796">
        <f>_xlfn.XLOOKUP(A323,INPUT_DATA!$CJ$4:$CJ$397,INPUT_DATA!$CM$4:$CM$397)</f>
        <v>9</v>
      </c>
      <c r="F323" s="795">
        <f>Top20Deb37[[#This Row],[Nb of Loans]]/Top20Deb37[[#Totals],[Nb of Loans]]</f>
        <v>2.4937655860349127E-3</v>
      </c>
    </row>
    <row r="324" spans="1:6" x14ac:dyDescent="0.25">
      <c r="A324" s="414" t="s">
        <v>985</v>
      </c>
      <c r="B324" s="409" t="s">
        <v>1285</v>
      </c>
      <c r="C324" s="410">
        <f>_xlfn.XLOOKUP(A324,INPUT_DATA!$CJ$4:$CJ$397,INPUT_DATA!$CL$4:$CL$397)</f>
        <v>3214358</v>
      </c>
      <c r="D324" s="795">
        <f>Top20Deb37[[#This Row],[Principal Outstanding Balance]]/Top20Deb37[[#Totals],[Principal Outstanding Balance]]</f>
        <v>1.920044286575024E-3</v>
      </c>
      <c r="E324" s="796">
        <f>_xlfn.XLOOKUP(A324,INPUT_DATA!$CJ$4:$CJ$397,INPUT_DATA!$CM$4:$CM$397)</f>
        <v>14</v>
      </c>
      <c r="F324" s="795">
        <f>Top20Deb37[[#This Row],[Nb of Loans]]/Top20Deb37[[#Totals],[Nb of Loans]]</f>
        <v>3.8791909116098642E-3</v>
      </c>
    </row>
    <row r="325" spans="1:6" x14ac:dyDescent="0.25">
      <c r="A325" s="414" t="s">
        <v>987</v>
      </c>
      <c r="B325" s="409" t="s">
        <v>1286</v>
      </c>
      <c r="C325" s="410">
        <f>_xlfn.XLOOKUP(A325,INPUT_DATA!$CJ$4:$CJ$397,INPUT_DATA!$CL$4:$CL$397)</f>
        <v>223900</v>
      </c>
      <c r="D325" s="795">
        <f>Top20Deb37[[#This Row],[Principal Outstanding Balance]]/Top20Deb37[[#Totals],[Principal Outstanding Balance]]</f>
        <v>1.3374301050603197E-4</v>
      </c>
      <c r="E325" s="796">
        <f>_xlfn.XLOOKUP(A325,INPUT_DATA!$CJ$4:$CJ$397,INPUT_DATA!$CM$4:$CM$397)</f>
        <v>2</v>
      </c>
      <c r="F325" s="795">
        <f>Top20Deb37[[#This Row],[Nb of Loans]]/Top20Deb37[[#Totals],[Nb of Loans]]</f>
        <v>5.5417013022998065E-4</v>
      </c>
    </row>
    <row r="326" spans="1:6" x14ac:dyDescent="0.25">
      <c r="A326" s="414" t="s">
        <v>989</v>
      </c>
      <c r="B326" s="409" t="s">
        <v>1287</v>
      </c>
      <c r="C326" s="410">
        <f>_xlfn.XLOOKUP(A326,INPUT_DATA!$CJ$4:$CJ$397,INPUT_DATA!$CL$4:$CL$397)</f>
        <v>1159500</v>
      </c>
      <c r="D326" s="795">
        <f>Top20Deb37[[#This Row],[Principal Outstanding Balance]]/Top20Deb37[[#Totals],[Principal Outstanding Balance]]</f>
        <v>6.9260839965048712E-4</v>
      </c>
      <c r="E326" s="796">
        <f>_xlfn.XLOOKUP(A326,INPUT_DATA!$CJ$4:$CJ$397,INPUT_DATA!$CM$4:$CM$397)</f>
        <v>3</v>
      </c>
      <c r="F326" s="795">
        <f>Top20Deb37[[#This Row],[Nb of Loans]]/Top20Deb37[[#Totals],[Nb of Loans]]</f>
        <v>8.3125519534497092E-4</v>
      </c>
    </row>
    <row r="327" spans="1:6" x14ac:dyDescent="0.25">
      <c r="A327" s="414" t="s">
        <v>991</v>
      </c>
      <c r="B327" s="409" t="s">
        <v>1288</v>
      </c>
      <c r="C327" s="410">
        <f>_xlfn.XLOOKUP(A327,INPUT_DATA!$CJ$4:$CJ$397,INPUT_DATA!$CL$4:$CL$397)</f>
        <v>421527</v>
      </c>
      <c r="D327" s="795">
        <f>Top20Deb37[[#This Row],[Principal Outstanding Balance]]/Top20Deb37[[#Totals],[Principal Outstanding Balance]]</f>
        <v>2.5179227328975495E-4</v>
      </c>
      <c r="E327" s="796">
        <f>_xlfn.XLOOKUP(A327,INPUT_DATA!$CJ$4:$CJ$397,INPUT_DATA!$CM$4:$CM$397)</f>
        <v>2</v>
      </c>
      <c r="F327" s="795">
        <f>Top20Deb37[[#This Row],[Nb of Loans]]/Top20Deb37[[#Totals],[Nb of Loans]]</f>
        <v>5.5417013022998065E-4</v>
      </c>
    </row>
    <row r="328" spans="1:6" x14ac:dyDescent="0.25">
      <c r="A328" s="414" t="s">
        <v>993</v>
      </c>
      <c r="B328" s="409" t="s">
        <v>1289</v>
      </c>
      <c r="C328" s="410">
        <f>_xlfn.XLOOKUP(A328,INPUT_DATA!$CJ$4:$CJ$397,INPUT_DATA!$CL$4:$CL$397)</f>
        <v>1009169</v>
      </c>
      <c r="D328" s="795">
        <f>Top20Deb37[[#This Row],[Principal Outstanding Balance]]/Top20Deb37[[#Totals],[Principal Outstanding Balance]]</f>
        <v>6.0281063050183906E-4</v>
      </c>
      <c r="E328" s="796">
        <f>_xlfn.XLOOKUP(A328,INPUT_DATA!$CJ$4:$CJ$397,INPUT_DATA!$CM$4:$CM$397)</f>
        <v>2</v>
      </c>
      <c r="F328" s="795">
        <f>Top20Deb37[[#This Row],[Nb of Loans]]/Top20Deb37[[#Totals],[Nb of Loans]]</f>
        <v>5.5417013022998065E-4</v>
      </c>
    </row>
    <row r="329" spans="1:6" x14ac:dyDescent="0.25">
      <c r="A329" s="414" t="s">
        <v>995</v>
      </c>
      <c r="B329" s="409" t="s">
        <v>1290</v>
      </c>
      <c r="C329" s="410">
        <f>_xlfn.XLOOKUP(A329,INPUT_DATA!$CJ$4:$CJ$397,INPUT_DATA!$CL$4:$CL$397)</f>
        <v>571000</v>
      </c>
      <c r="D329" s="795">
        <f>Top20Deb37[[#This Row],[Principal Outstanding Balance]]/Top20Deb37[[#Totals],[Principal Outstanding Balance]]</f>
        <v>3.4107753014267196E-4</v>
      </c>
      <c r="E329" s="796">
        <f>_xlfn.XLOOKUP(A329,INPUT_DATA!$CJ$4:$CJ$397,INPUT_DATA!$CM$4:$CM$397)</f>
        <v>4</v>
      </c>
      <c r="F329" s="795">
        <f>Top20Deb37[[#This Row],[Nb of Loans]]/Top20Deb37[[#Totals],[Nb of Loans]]</f>
        <v>1.1083402604599613E-3</v>
      </c>
    </row>
    <row r="330" spans="1:6" x14ac:dyDescent="0.25">
      <c r="A330" s="414" t="s">
        <v>997</v>
      </c>
      <c r="B330" s="409" t="s">
        <v>1291</v>
      </c>
      <c r="C330" s="410">
        <f>_xlfn.XLOOKUP(A330,INPUT_DATA!$CJ$4:$CJ$397,INPUT_DATA!$CL$4:$CL$397)</f>
        <v>0</v>
      </c>
      <c r="D330" s="795">
        <f>Top20Deb37[[#This Row],[Principal Outstanding Balance]]/Top20Deb37[[#Totals],[Principal Outstanding Balance]]</f>
        <v>0</v>
      </c>
      <c r="E330" s="796">
        <f>_xlfn.XLOOKUP(A330,INPUT_DATA!$CJ$4:$CJ$397,INPUT_DATA!$CM$4:$CM$397)</f>
        <v>0</v>
      </c>
      <c r="F330" s="795">
        <f>Top20Deb37[[#This Row],[Nb of Loans]]/Top20Deb37[[#Totals],[Nb of Loans]]</f>
        <v>0</v>
      </c>
    </row>
    <row r="331" spans="1:6" x14ac:dyDescent="0.25">
      <c r="A331" s="414" t="s">
        <v>999</v>
      </c>
      <c r="B331" s="409" t="s">
        <v>1292</v>
      </c>
      <c r="C331" s="410">
        <f>_xlfn.XLOOKUP(A331,INPUT_DATA!$CJ$4:$CJ$397,INPUT_DATA!$CL$4:$CL$397)</f>
        <v>0</v>
      </c>
      <c r="D331" s="795">
        <f>Top20Deb37[[#This Row],[Principal Outstanding Balance]]/Top20Deb37[[#Totals],[Principal Outstanding Balance]]</f>
        <v>0</v>
      </c>
      <c r="E331" s="796">
        <f>_xlfn.XLOOKUP(A331,INPUT_DATA!$CJ$4:$CJ$397,INPUT_DATA!$CM$4:$CM$397)</f>
        <v>0</v>
      </c>
      <c r="F331" s="795">
        <f>Top20Deb37[[#This Row],[Nb of Loans]]/Top20Deb37[[#Totals],[Nb of Loans]]</f>
        <v>0</v>
      </c>
    </row>
    <row r="332" spans="1:6" x14ac:dyDescent="0.25">
      <c r="A332" s="414" t="s">
        <v>1001</v>
      </c>
      <c r="B332" s="409" t="s">
        <v>1293</v>
      </c>
      <c r="C332" s="410">
        <f>_xlfn.XLOOKUP(A332,INPUT_DATA!$CJ$4:$CJ$397,INPUT_DATA!$CL$4:$CL$397)</f>
        <v>17162670</v>
      </c>
      <c r="D332" s="795">
        <f>Top20Deb37[[#This Row],[Principal Outstanding Balance]]/Top20Deb37[[#Totals],[Principal Outstanding Balance]]</f>
        <v>1.0251840795540685E-2</v>
      </c>
      <c r="E332" s="796">
        <f>_xlfn.XLOOKUP(A332,INPUT_DATA!$CJ$4:$CJ$397,INPUT_DATA!$CM$4:$CM$397)</f>
        <v>37</v>
      </c>
      <c r="F332" s="795">
        <f>Top20Deb37[[#This Row],[Nb of Loans]]/Top20Deb37[[#Totals],[Nb of Loans]]</f>
        <v>1.0252147409254642E-2</v>
      </c>
    </row>
    <row r="333" spans="1:6" x14ac:dyDescent="0.25">
      <c r="A333" s="414" t="s">
        <v>1003</v>
      </c>
      <c r="B333" s="409" t="s">
        <v>1294</v>
      </c>
      <c r="C333" s="410">
        <f>_xlfn.XLOOKUP(A333,INPUT_DATA!$CJ$4:$CJ$397,INPUT_DATA!$CL$4:$CL$397)</f>
        <v>1940311</v>
      </c>
      <c r="D333" s="795">
        <f>Top20Deb37[[#This Row],[Principal Outstanding Balance]]/Top20Deb37[[#Totals],[Principal Outstanding Balance]]</f>
        <v>1.1590131061097338E-3</v>
      </c>
      <c r="E333" s="796">
        <f>_xlfn.XLOOKUP(A333,INPUT_DATA!$CJ$4:$CJ$397,INPUT_DATA!$CM$4:$CM$397)</f>
        <v>6</v>
      </c>
      <c r="F333" s="795">
        <f>Top20Deb37[[#This Row],[Nb of Loans]]/Top20Deb37[[#Totals],[Nb of Loans]]</f>
        <v>1.6625103906899418E-3</v>
      </c>
    </row>
    <row r="334" spans="1:6" x14ac:dyDescent="0.25">
      <c r="A334" s="414" t="s">
        <v>1005</v>
      </c>
      <c r="B334" s="409" t="s">
        <v>1295</v>
      </c>
      <c r="C334" s="410">
        <f>_xlfn.XLOOKUP(A334,INPUT_DATA!$CJ$4:$CJ$397,INPUT_DATA!$CL$4:$CL$397)</f>
        <v>1450854</v>
      </c>
      <c r="D334" s="795">
        <f>Top20Deb37[[#This Row],[Principal Outstanding Balance]]/Top20Deb37[[#Totals],[Principal Outstanding Balance]]</f>
        <v>8.6664395607288292E-4</v>
      </c>
      <c r="E334" s="796">
        <f>_xlfn.XLOOKUP(A334,INPUT_DATA!$CJ$4:$CJ$397,INPUT_DATA!$CM$4:$CM$397)</f>
        <v>4</v>
      </c>
      <c r="F334" s="795">
        <f>Top20Deb37[[#This Row],[Nb of Loans]]/Top20Deb37[[#Totals],[Nb of Loans]]</f>
        <v>1.1083402604599613E-3</v>
      </c>
    </row>
    <row r="335" spans="1:6" x14ac:dyDescent="0.25">
      <c r="A335" s="414" t="s">
        <v>1007</v>
      </c>
      <c r="B335" s="409" t="s">
        <v>1296</v>
      </c>
      <c r="C335" s="410">
        <f>_xlfn.XLOOKUP(A335,INPUT_DATA!$CJ$4:$CJ$397,INPUT_DATA!$CL$4:$CL$397)</f>
        <v>4801122</v>
      </c>
      <c r="D335" s="795">
        <f>Top20Deb37[[#This Row],[Principal Outstanding Balance]]/Top20Deb37[[#Totals],[Principal Outstanding Balance]]</f>
        <v>2.8678718628259992E-3</v>
      </c>
      <c r="E335" s="796">
        <f>_xlfn.XLOOKUP(A335,INPUT_DATA!$CJ$4:$CJ$397,INPUT_DATA!$CM$4:$CM$397)</f>
        <v>15</v>
      </c>
      <c r="F335" s="795">
        <f>Top20Deb37[[#This Row],[Nb of Loans]]/Top20Deb37[[#Totals],[Nb of Loans]]</f>
        <v>4.1562759767248547E-3</v>
      </c>
    </row>
    <row r="336" spans="1:6" x14ac:dyDescent="0.25">
      <c r="A336" s="414" t="s">
        <v>1009</v>
      </c>
      <c r="B336" s="409" t="s">
        <v>1297</v>
      </c>
      <c r="C336" s="410">
        <f>_xlfn.XLOOKUP(A336,INPUT_DATA!$CJ$4:$CJ$397,INPUT_DATA!$CL$4:$CL$397)</f>
        <v>11307519</v>
      </c>
      <c r="D336" s="795">
        <f>Top20Deb37[[#This Row],[Principal Outstanding Balance]]/Top20Deb37[[#Totals],[Principal Outstanding Balance]]</f>
        <v>6.7543619134174011E-3</v>
      </c>
      <c r="E336" s="796">
        <f>_xlfn.XLOOKUP(A336,INPUT_DATA!$CJ$4:$CJ$397,INPUT_DATA!$CM$4:$CM$397)</f>
        <v>46</v>
      </c>
      <c r="F336" s="795">
        <f>Top20Deb37[[#This Row],[Nb of Loans]]/Top20Deb37[[#Totals],[Nb of Loans]]</f>
        <v>1.2745912995289554E-2</v>
      </c>
    </row>
    <row r="337" spans="1:6" x14ac:dyDescent="0.25">
      <c r="A337" s="414" t="s">
        <v>1011</v>
      </c>
      <c r="B337" s="409" t="s">
        <v>1298</v>
      </c>
      <c r="C337" s="410">
        <f>_xlfn.XLOOKUP(A337,INPUT_DATA!$CJ$4:$CJ$397,INPUT_DATA!$CL$4:$CL$397)</f>
        <v>28491231</v>
      </c>
      <c r="D337" s="795">
        <f>Top20Deb37[[#This Row],[Principal Outstanding Balance]]/Top20Deb37[[#Totals],[Principal Outstanding Balance]]</f>
        <v>1.7018771804210735E-2</v>
      </c>
      <c r="E337" s="796">
        <f>_xlfn.XLOOKUP(A337,INPUT_DATA!$CJ$4:$CJ$397,INPUT_DATA!$CM$4:$CM$397)</f>
        <v>94</v>
      </c>
      <c r="F337" s="795">
        <f>Top20Deb37[[#This Row],[Nb of Loans]]/Top20Deb37[[#Totals],[Nb of Loans]]</f>
        <v>2.6045996120809087E-2</v>
      </c>
    </row>
    <row r="338" spans="1:6" x14ac:dyDescent="0.25">
      <c r="A338" s="414" t="s">
        <v>1013</v>
      </c>
      <c r="B338" s="409" t="s">
        <v>1299</v>
      </c>
      <c r="C338" s="410">
        <f>_xlfn.XLOOKUP(A338,INPUT_DATA!$CJ$4:$CJ$397,INPUT_DATA!$CL$4:$CL$397)</f>
        <v>3157872</v>
      </c>
      <c r="D338" s="795">
        <f>Top20Deb37[[#This Row],[Principal Outstanding Balance]]/Top20Deb37[[#Totals],[Principal Outstanding Balance]]</f>
        <v>1.8863032964390538E-3</v>
      </c>
      <c r="E338" s="796">
        <f>_xlfn.XLOOKUP(A338,INPUT_DATA!$CJ$4:$CJ$397,INPUT_DATA!$CM$4:$CM$397)</f>
        <v>13</v>
      </c>
      <c r="F338" s="795">
        <f>Top20Deb37[[#This Row],[Nb of Loans]]/Top20Deb37[[#Totals],[Nb of Loans]]</f>
        <v>3.6021058464948737E-3</v>
      </c>
    </row>
    <row r="339" spans="1:6" x14ac:dyDescent="0.25">
      <c r="A339" s="414" t="s">
        <v>1015</v>
      </c>
      <c r="B339" s="409" t="s">
        <v>1300</v>
      </c>
      <c r="C339" s="410">
        <f>_xlfn.XLOOKUP(A339,INPUT_DATA!$CJ$4:$CJ$397,INPUT_DATA!$CL$4:$CL$397)</f>
        <v>1507754</v>
      </c>
      <c r="D339" s="795">
        <f>Top20Deb37[[#This Row],[Principal Outstanding Balance]]/Top20Deb37[[#Totals],[Principal Outstanding Balance]]</f>
        <v>9.006322423515485E-4</v>
      </c>
      <c r="E339" s="796">
        <f>_xlfn.XLOOKUP(A339,INPUT_DATA!$CJ$4:$CJ$397,INPUT_DATA!$CM$4:$CM$397)</f>
        <v>4</v>
      </c>
      <c r="F339" s="795">
        <f>Top20Deb37[[#This Row],[Nb of Loans]]/Top20Deb37[[#Totals],[Nb of Loans]]</f>
        <v>1.1083402604599613E-3</v>
      </c>
    </row>
    <row r="340" spans="1:6" x14ac:dyDescent="0.25">
      <c r="A340" s="414" t="s">
        <v>1017</v>
      </c>
      <c r="B340" s="409" t="s">
        <v>1301</v>
      </c>
      <c r="C340" s="410">
        <f>_xlfn.XLOOKUP(A340,INPUT_DATA!$CJ$4:$CJ$397,INPUT_DATA!$CL$4:$CL$397)</f>
        <v>8053346</v>
      </c>
      <c r="D340" s="795">
        <f>Top20Deb37[[#This Row],[Principal Outstanding Balance]]/Top20Deb37[[#Totals],[Principal Outstanding Balance]]</f>
        <v>4.8105347864524813E-3</v>
      </c>
      <c r="E340" s="796">
        <f>_xlfn.XLOOKUP(A340,INPUT_DATA!$CJ$4:$CJ$397,INPUT_DATA!$CM$4:$CM$397)</f>
        <v>21</v>
      </c>
      <c r="F340" s="795">
        <f>Top20Deb37[[#This Row],[Nb of Loans]]/Top20Deb37[[#Totals],[Nb of Loans]]</f>
        <v>5.8187863674147968E-3</v>
      </c>
    </row>
    <row r="341" spans="1:6" x14ac:dyDescent="0.25">
      <c r="A341" s="414" t="s">
        <v>1019</v>
      </c>
      <c r="B341" s="409" t="s">
        <v>1302</v>
      </c>
      <c r="C341" s="410">
        <f>_xlfn.XLOOKUP(A341,INPUT_DATA!$CJ$4:$CJ$397,INPUT_DATA!$CL$4:$CL$397)</f>
        <v>764000</v>
      </c>
      <c r="D341" s="795">
        <f>Top20Deb37[[#This Row],[Principal Outstanding Balance]]/Top20Deb37[[#Totals],[Principal Outstanding Balance]]</f>
        <v>4.5636292999825108E-4</v>
      </c>
      <c r="E341" s="796">
        <f>_xlfn.XLOOKUP(A341,INPUT_DATA!$CJ$4:$CJ$397,INPUT_DATA!$CM$4:$CM$397)</f>
        <v>5</v>
      </c>
      <c r="F341" s="795">
        <f>Top20Deb37[[#This Row],[Nb of Loans]]/Top20Deb37[[#Totals],[Nb of Loans]]</f>
        <v>1.3854253255749516E-3</v>
      </c>
    </row>
    <row r="342" spans="1:6" x14ac:dyDescent="0.25">
      <c r="A342" s="414" t="s">
        <v>1021</v>
      </c>
      <c r="B342" s="409" t="s">
        <v>1303</v>
      </c>
      <c r="C342" s="410">
        <f>_xlfn.XLOOKUP(A342,INPUT_DATA!$CJ$4:$CJ$397,INPUT_DATA!$CL$4:$CL$397)</f>
        <v>10483035</v>
      </c>
      <c r="D342" s="795">
        <f>Top20Deb37[[#This Row],[Principal Outstanding Balance]]/Top20Deb37[[#Totals],[Principal Outstanding Balance]]</f>
        <v>6.2618698532385031E-3</v>
      </c>
      <c r="E342" s="796">
        <f>_xlfn.XLOOKUP(A342,INPUT_DATA!$CJ$4:$CJ$397,INPUT_DATA!$CM$4:$CM$397)</f>
        <v>34</v>
      </c>
      <c r="F342" s="795">
        <f>Top20Deb37[[#This Row],[Nb of Loans]]/Top20Deb37[[#Totals],[Nb of Loans]]</f>
        <v>9.4208922139096696E-3</v>
      </c>
    </row>
    <row r="343" spans="1:6" x14ac:dyDescent="0.25">
      <c r="A343" s="414" t="s">
        <v>1023</v>
      </c>
      <c r="B343" s="409" t="s">
        <v>1304</v>
      </c>
      <c r="C343" s="410">
        <f>_xlfn.XLOOKUP(A343,INPUT_DATA!$CJ$4:$CJ$397,INPUT_DATA!$CL$4:$CL$397)</f>
        <v>0</v>
      </c>
      <c r="D343" s="795">
        <f>Top20Deb37[[#This Row],[Principal Outstanding Balance]]/Top20Deb37[[#Totals],[Principal Outstanding Balance]]</f>
        <v>0</v>
      </c>
      <c r="E343" s="796">
        <f>_xlfn.XLOOKUP(A343,INPUT_DATA!$CJ$4:$CJ$397,INPUT_DATA!$CM$4:$CM$397)</f>
        <v>0</v>
      </c>
      <c r="F343" s="795">
        <f>Top20Deb37[[#This Row],[Nb of Loans]]/Top20Deb37[[#Totals],[Nb of Loans]]</f>
        <v>0</v>
      </c>
    </row>
    <row r="344" spans="1:6" x14ac:dyDescent="0.25">
      <c r="A344" s="414" t="s">
        <v>1025</v>
      </c>
      <c r="B344" s="409" t="s">
        <v>1305</v>
      </c>
      <c r="C344" s="410">
        <f>_xlfn.XLOOKUP(A344,INPUT_DATA!$CJ$4:$CJ$397,INPUT_DATA!$CL$4:$CL$397)</f>
        <v>0</v>
      </c>
      <c r="D344" s="795">
        <f>Top20Deb37[[#This Row],[Principal Outstanding Balance]]/Top20Deb37[[#Totals],[Principal Outstanding Balance]]</f>
        <v>0</v>
      </c>
      <c r="E344" s="796">
        <f>_xlfn.XLOOKUP(A344,INPUT_DATA!$CJ$4:$CJ$397,INPUT_DATA!$CM$4:$CM$397)</f>
        <v>0</v>
      </c>
      <c r="F344" s="795">
        <f>Top20Deb37[[#This Row],[Nb of Loans]]/Top20Deb37[[#Totals],[Nb of Loans]]</f>
        <v>0</v>
      </c>
    </row>
    <row r="345" spans="1:6" x14ac:dyDescent="0.25">
      <c r="A345" s="414" t="s">
        <v>1027</v>
      </c>
      <c r="B345" s="409" t="s">
        <v>1306</v>
      </c>
      <c r="C345" s="410">
        <f>_xlfn.XLOOKUP(A345,INPUT_DATA!$CJ$4:$CJ$397,INPUT_DATA!$CL$4:$CL$397)</f>
        <v>198240</v>
      </c>
      <c r="D345" s="795">
        <f>Top20Deb37[[#This Row],[Principal Outstanding Balance]]/Top20Deb37[[#Totals],[Principal Outstanding Balance]]</f>
        <v>1.1841542832834202E-4</v>
      </c>
      <c r="E345" s="796">
        <f>_xlfn.XLOOKUP(A345,INPUT_DATA!$CJ$4:$CJ$397,INPUT_DATA!$CM$4:$CM$397)</f>
        <v>2</v>
      </c>
      <c r="F345" s="795">
        <f>Top20Deb37[[#This Row],[Nb of Loans]]/Top20Deb37[[#Totals],[Nb of Loans]]</f>
        <v>5.5417013022998065E-4</v>
      </c>
    </row>
    <row r="346" spans="1:6" x14ac:dyDescent="0.25">
      <c r="A346" s="414" t="s">
        <v>1029</v>
      </c>
      <c r="B346" s="409" t="s">
        <v>1307</v>
      </c>
      <c r="C346" s="410">
        <f>_xlfn.XLOOKUP(A346,INPUT_DATA!$CJ$4:$CJ$397,INPUT_DATA!$CL$4:$CL$397)</f>
        <v>326406</v>
      </c>
      <c r="D346" s="795">
        <f>Top20Deb37[[#This Row],[Principal Outstanding Balance]]/Top20Deb37[[#Totals],[Principal Outstanding Balance]]</f>
        <v>1.9497329650393868E-4</v>
      </c>
      <c r="E346" s="796">
        <f>_xlfn.XLOOKUP(A346,INPUT_DATA!$CJ$4:$CJ$397,INPUT_DATA!$CM$4:$CM$397)</f>
        <v>2</v>
      </c>
      <c r="F346" s="795">
        <f>Top20Deb37[[#This Row],[Nb of Loans]]/Top20Deb37[[#Totals],[Nb of Loans]]</f>
        <v>5.5417013022998065E-4</v>
      </c>
    </row>
    <row r="347" spans="1:6" x14ac:dyDescent="0.25">
      <c r="A347" s="414" t="s">
        <v>1031</v>
      </c>
      <c r="B347" s="409" t="s">
        <v>1308</v>
      </c>
      <c r="C347" s="410">
        <f>_xlfn.XLOOKUP(A347,INPUT_DATA!$CJ$4:$CJ$397,INPUT_DATA!$CL$4:$CL$397)</f>
        <v>0</v>
      </c>
      <c r="D347" s="795">
        <f>Top20Deb37[[#This Row],[Principal Outstanding Balance]]/Top20Deb37[[#Totals],[Principal Outstanding Balance]]</f>
        <v>0</v>
      </c>
      <c r="E347" s="796">
        <f>_xlfn.XLOOKUP(A347,INPUT_DATA!$CJ$4:$CJ$397,INPUT_DATA!$CM$4:$CM$397)</f>
        <v>0</v>
      </c>
      <c r="F347" s="795">
        <f>Top20Deb37[[#This Row],[Nb of Loans]]/Top20Deb37[[#Totals],[Nb of Loans]]</f>
        <v>0</v>
      </c>
    </row>
    <row r="348" spans="1:6" x14ac:dyDescent="0.25">
      <c r="A348" s="414" t="s">
        <v>1033</v>
      </c>
      <c r="B348" s="409" t="s">
        <v>1309</v>
      </c>
      <c r="C348" s="410">
        <f>_xlfn.XLOOKUP(A348,INPUT_DATA!$CJ$4:$CJ$397,INPUT_DATA!$CL$4:$CL$397)</f>
        <v>3161933</v>
      </c>
      <c r="D348" s="795">
        <f>Top20Deb37[[#This Row],[Principal Outstanding Balance]]/Top20Deb37[[#Totals],[Principal Outstanding Balance]]</f>
        <v>1.888729068505445E-3</v>
      </c>
      <c r="E348" s="796">
        <f>_xlfn.XLOOKUP(A348,INPUT_DATA!$CJ$4:$CJ$397,INPUT_DATA!$CM$4:$CM$397)</f>
        <v>12</v>
      </c>
      <c r="F348" s="795">
        <f>Top20Deb37[[#This Row],[Nb of Loans]]/Top20Deb37[[#Totals],[Nb of Loans]]</f>
        <v>3.3250207813798837E-3</v>
      </c>
    </row>
    <row r="349" spans="1:6" x14ac:dyDescent="0.25">
      <c r="A349" s="414" t="s">
        <v>1035</v>
      </c>
      <c r="B349" s="409" t="s">
        <v>1310</v>
      </c>
      <c r="C349" s="410">
        <f>_xlfn.XLOOKUP(A349,INPUT_DATA!$CJ$4:$CJ$397,INPUT_DATA!$CL$4:$CL$397)</f>
        <v>0</v>
      </c>
      <c r="D349" s="795">
        <f>Top20Deb37[[#This Row],[Principal Outstanding Balance]]/Top20Deb37[[#Totals],[Principal Outstanding Balance]]</f>
        <v>0</v>
      </c>
      <c r="E349" s="796">
        <f>_xlfn.XLOOKUP(A349,INPUT_DATA!$CJ$4:$CJ$397,INPUT_DATA!$CM$4:$CM$397)</f>
        <v>0</v>
      </c>
      <c r="F349" s="795">
        <f>Top20Deb37[[#This Row],[Nb of Loans]]/Top20Deb37[[#Totals],[Nb of Loans]]</f>
        <v>0</v>
      </c>
    </row>
    <row r="350" spans="1:6" x14ac:dyDescent="0.25">
      <c r="A350" s="414" t="s">
        <v>1037</v>
      </c>
      <c r="B350" s="409" t="s">
        <v>1311</v>
      </c>
      <c r="C350" s="410">
        <f>_xlfn.XLOOKUP(A350,INPUT_DATA!$CJ$4:$CJ$397,INPUT_DATA!$CL$4:$CL$397)</f>
        <v>4252063</v>
      </c>
      <c r="D350" s="795">
        <f>Top20Deb37[[#This Row],[Principal Outstanding Balance]]/Top20Deb37[[#Totals],[Principal Outstanding Balance]]</f>
        <v>2.5399004309125048E-3</v>
      </c>
      <c r="E350" s="796">
        <f>_xlfn.XLOOKUP(A350,INPUT_DATA!$CJ$4:$CJ$397,INPUT_DATA!$CM$4:$CM$397)</f>
        <v>15</v>
      </c>
      <c r="F350" s="795">
        <f>Top20Deb37[[#This Row],[Nb of Loans]]/Top20Deb37[[#Totals],[Nb of Loans]]</f>
        <v>4.1562759767248547E-3</v>
      </c>
    </row>
    <row r="351" spans="1:6" x14ac:dyDescent="0.25">
      <c r="A351" s="414" t="s">
        <v>1039</v>
      </c>
      <c r="B351" s="409" t="s">
        <v>1312</v>
      </c>
      <c r="C351" s="410">
        <f>_xlfn.XLOOKUP(A351,INPUT_DATA!$CJ$4:$CJ$397,INPUT_DATA!$CL$4:$CL$397)</f>
        <v>265000</v>
      </c>
      <c r="D351" s="795">
        <f>Top20Deb37[[#This Row],[Principal Outstanding Balance]]/Top20Deb37[[#Totals],[Principal Outstanding Balance]]</f>
        <v>1.5829342467216825E-4</v>
      </c>
      <c r="E351" s="796">
        <f>_xlfn.XLOOKUP(A351,INPUT_DATA!$CJ$4:$CJ$397,INPUT_DATA!$CM$4:$CM$397)</f>
        <v>1</v>
      </c>
      <c r="F351" s="795">
        <f>Top20Deb37[[#This Row],[Nb of Loans]]/Top20Deb37[[#Totals],[Nb of Loans]]</f>
        <v>2.7708506511499033E-4</v>
      </c>
    </row>
    <row r="352" spans="1:6" x14ac:dyDescent="0.25">
      <c r="A352" s="414" t="s">
        <v>1041</v>
      </c>
      <c r="B352" s="409" t="s">
        <v>1313</v>
      </c>
      <c r="C352" s="410">
        <f>_xlfn.XLOOKUP(A352,INPUT_DATA!$CJ$4:$CJ$397,INPUT_DATA!$CL$4:$CL$397)</f>
        <v>19829400.140000001</v>
      </c>
      <c r="D352" s="795">
        <f>Top20Deb37[[#This Row],[Principal Outstanding Balance]]/Top20Deb37[[#Totals],[Principal Outstanding Balance]]</f>
        <v>1.184476851832216E-2</v>
      </c>
      <c r="E352" s="796">
        <f>_xlfn.XLOOKUP(A352,INPUT_DATA!$CJ$4:$CJ$397,INPUT_DATA!$CM$4:$CM$397)</f>
        <v>61</v>
      </c>
      <c r="F352" s="795">
        <f>Top20Deb37[[#This Row],[Nb of Loans]]/Top20Deb37[[#Totals],[Nb of Loans]]</f>
        <v>1.6902188972014408E-2</v>
      </c>
    </row>
    <row r="353" spans="1:6" x14ac:dyDescent="0.25">
      <c r="A353" s="414" t="s">
        <v>1043</v>
      </c>
      <c r="B353" s="409" t="s">
        <v>1314</v>
      </c>
      <c r="C353" s="410">
        <f>_xlfn.XLOOKUP(A353,INPUT_DATA!$CJ$4:$CJ$397,INPUT_DATA!$CL$4:$CL$397)</f>
        <v>1490826</v>
      </c>
      <c r="D353" s="795">
        <f>Top20Deb37[[#This Row],[Principal Outstanding Balance]]/Top20Deb37[[#Totals],[Principal Outstanding Balance]]</f>
        <v>8.9052057785022601E-4</v>
      </c>
      <c r="E353" s="796">
        <f>_xlfn.XLOOKUP(A353,INPUT_DATA!$CJ$4:$CJ$397,INPUT_DATA!$CM$4:$CM$397)</f>
        <v>9</v>
      </c>
      <c r="F353" s="795">
        <f>Top20Deb37[[#This Row],[Nb of Loans]]/Top20Deb37[[#Totals],[Nb of Loans]]</f>
        <v>2.4937655860349127E-3</v>
      </c>
    </row>
    <row r="354" spans="1:6" x14ac:dyDescent="0.25">
      <c r="A354" s="414" t="s">
        <v>1045</v>
      </c>
      <c r="B354" s="409" t="s">
        <v>1315</v>
      </c>
      <c r="C354" s="410">
        <f>_xlfn.XLOOKUP(A354,INPUT_DATA!$CJ$4:$CJ$397,INPUT_DATA!$CL$4:$CL$397)</f>
        <v>353296</v>
      </c>
      <c r="D354" s="795">
        <f>Top20Deb37[[#This Row],[Principal Outstanding Balance]]/Top20Deb37[[#Totals],[Principal Outstanding Balance]]</f>
        <v>2.1103559910557869E-4</v>
      </c>
      <c r="E354" s="796">
        <f>_xlfn.XLOOKUP(A354,INPUT_DATA!$CJ$4:$CJ$397,INPUT_DATA!$CM$4:$CM$397)</f>
        <v>2</v>
      </c>
      <c r="F354" s="795">
        <f>Top20Deb37[[#This Row],[Nb of Loans]]/Top20Deb37[[#Totals],[Nb of Loans]]</f>
        <v>5.5417013022998065E-4</v>
      </c>
    </row>
    <row r="355" spans="1:6" x14ac:dyDescent="0.25">
      <c r="A355" s="414" t="s">
        <v>1047</v>
      </c>
      <c r="B355" s="409" t="s">
        <v>1316</v>
      </c>
      <c r="C355" s="410">
        <f>_xlfn.XLOOKUP(A355,INPUT_DATA!$CJ$4:$CJ$397,INPUT_DATA!$CL$4:$CL$397)</f>
        <v>979557</v>
      </c>
      <c r="D355" s="795">
        <f>Top20Deb37[[#This Row],[Principal Outstanding Balance]]/Top20Deb37[[#Totals],[Principal Outstanding Balance]]</f>
        <v>5.8512238562866083E-4</v>
      </c>
      <c r="E355" s="796">
        <f>_xlfn.XLOOKUP(A355,INPUT_DATA!$CJ$4:$CJ$397,INPUT_DATA!$CM$4:$CM$397)</f>
        <v>5</v>
      </c>
      <c r="F355" s="795">
        <f>Top20Deb37[[#This Row],[Nb of Loans]]/Top20Deb37[[#Totals],[Nb of Loans]]</f>
        <v>1.3854253255749516E-3</v>
      </c>
    </row>
    <row r="356" spans="1:6" x14ac:dyDescent="0.25">
      <c r="A356" s="414" t="s">
        <v>1049</v>
      </c>
      <c r="B356" s="409" t="s">
        <v>1317</v>
      </c>
      <c r="C356" s="410">
        <f>_xlfn.XLOOKUP(A356,INPUT_DATA!$CJ$4:$CJ$397,INPUT_DATA!$CL$4:$CL$397)</f>
        <v>5402026</v>
      </c>
      <c r="D356" s="795">
        <f>Top20Deb37[[#This Row],[Principal Outstanding Balance]]/Top20Deb37[[#Totals],[Principal Outstanding Balance]]</f>
        <v>3.2268120592758276E-3</v>
      </c>
      <c r="E356" s="796">
        <f>_xlfn.XLOOKUP(A356,INPUT_DATA!$CJ$4:$CJ$397,INPUT_DATA!$CM$4:$CM$397)</f>
        <v>13</v>
      </c>
      <c r="F356" s="795">
        <f>Top20Deb37[[#This Row],[Nb of Loans]]/Top20Deb37[[#Totals],[Nb of Loans]]</f>
        <v>3.6021058464948737E-3</v>
      </c>
    </row>
    <row r="357" spans="1:6" x14ac:dyDescent="0.25">
      <c r="A357" s="414" t="s">
        <v>1051</v>
      </c>
      <c r="B357" s="409" t="s">
        <v>1318</v>
      </c>
      <c r="C357" s="410">
        <f>_xlfn.XLOOKUP(A357,INPUT_DATA!$CJ$4:$CJ$397,INPUT_DATA!$CL$4:$CL$397)</f>
        <v>3523064</v>
      </c>
      <c r="D357" s="795">
        <f>Top20Deb37[[#This Row],[Principal Outstanding Balance]]/Top20Deb37[[#Totals],[Principal Outstanding Balance]]</f>
        <v>2.1044447769782179E-3</v>
      </c>
      <c r="E357" s="796">
        <f>_xlfn.XLOOKUP(A357,INPUT_DATA!$CJ$4:$CJ$397,INPUT_DATA!$CM$4:$CM$397)</f>
        <v>8</v>
      </c>
      <c r="F357" s="795">
        <f>Top20Deb37[[#This Row],[Nb of Loans]]/Top20Deb37[[#Totals],[Nb of Loans]]</f>
        <v>2.2166805209199226E-3</v>
      </c>
    </row>
    <row r="358" spans="1:6" x14ac:dyDescent="0.25">
      <c r="A358" s="414" t="s">
        <v>1053</v>
      </c>
      <c r="B358" s="409" t="s">
        <v>1319</v>
      </c>
      <c r="C358" s="410">
        <f>_xlfn.XLOOKUP(A358,INPUT_DATA!$CJ$4:$CJ$397,INPUT_DATA!$CL$4:$CL$397)</f>
        <v>2035405</v>
      </c>
      <c r="D358" s="795">
        <f>Top20Deb37[[#This Row],[Principal Outstanding Balance]]/Top20Deb37[[#Totals],[Principal Outstanding Balance]]</f>
        <v>1.2158159548862437E-3</v>
      </c>
      <c r="E358" s="796">
        <f>_xlfn.XLOOKUP(A358,INPUT_DATA!$CJ$4:$CJ$397,INPUT_DATA!$CM$4:$CM$397)</f>
        <v>8</v>
      </c>
      <c r="F358" s="795">
        <f>Top20Deb37[[#This Row],[Nb of Loans]]/Top20Deb37[[#Totals],[Nb of Loans]]</f>
        <v>2.2166805209199226E-3</v>
      </c>
    </row>
    <row r="359" spans="1:6" x14ac:dyDescent="0.25">
      <c r="A359" s="414" t="s">
        <v>1055</v>
      </c>
      <c r="B359" s="409" t="s">
        <v>1320</v>
      </c>
      <c r="C359" s="410">
        <f>_xlfn.XLOOKUP(A359,INPUT_DATA!$CJ$4:$CJ$397,INPUT_DATA!$CL$4:$CL$397)</f>
        <v>6753149</v>
      </c>
      <c r="D359" s="795">
        <f>Top20Deb37[[#This Row],[Principal Outstanding Balance]]/Top20Deb37[[#Totals],[Principal Outstanding Balance]]</f>
        <v>4.0338833303072766E-3</v>
      </c>
      <c r="E359" s="796">
        <f>_xlfn.XLOOKUP(A359,INPUT_DATA!$CJ$4:$CJ$397,INPUT_DATA!$CM$4:$CM$397)</f>
        <v>22</v>
      </c>
      <c r="F359" s="795">
        <f>Top20Deb37[[#This Row],[Nb of Loans]]/Top20Deb37[[#Totals],[Nb of Loans]]</f>
        <v>6.0958714325297864E-3</v>
      </c>
    </row>
    <row r="360" spans="1:6" x14ac:dyDescent="0.25">
      <c r="A360" s="414" t="s">
        <v>1057</v>
      </c>
      <c r="B360" s="409" t="s">
        <v>1321</v>
      </c>
      <c r="C360" s="410">
        <f>_xlfn.XLOOKUP(A360,INPUT_DATA!$CJ$4:$CJ$397,INPUT_DATA!$CL$4:$CL$397)</f>
        <v>12146122</v>
      </c>
      <c r="D360" s="795">
        <f>Top20Deb37[[#This Row],[Principal Outstanding Balance]]/Top20Deb37[[#Totals],[Principal Outstanding Balance]]</f>
        <v>7.255287727796096E-3</v>
      </c>
      <c r="E360" s="796">
        <f>_xlfn.XLOOKUP(A360,INPUT_DATA!$CJ$4:$CJ$397,INPUT_DATA!$CM$4:$CM$397)</f>
        <v>30</v>
      </c>
      <c r="F360" s="795">
        <f>Top20Deb37[[#This Row],[Nb of Loans]]/Top20Deb37[[#Totals],[Nb of Loans]]</f>
        <v>8.3125519534497094E-3</v>
      </c>
    </row>
    <row r="361" spans="1:6" x14ac:dyDescent="0.25">
      <c r="A361" s="414" t="s">
        <v>1059</v>
      </c>
      <c r="B361" s="409" t="s">
        <v>1322</v>
      </c>
      <c r="C361" s="410">
        <f>_xlfn.XLOOKUP(A361,INPUT_DATA!$CJ$4:$CJ$397,INPUT_DATA!$CL$4:$CL$397)</f>
        <v>3301276.04</v>
      </c>
      <c r="D361" s="795">
        <f>Top20Deb37[[#This Row],[Principal Outstanding Balance]]/Top20Deb37[[#Totals],[Principal Outstanding Balance]]</f>
        <v>1.9719633590934865E-3</v>
      </c>
      <c r="E361" s="796">
        <f>_xlfn.XLOOKUP(A361,INPUT_DATA!$CJ$4:$CJ$397,INPUT_DATA!$CM$4:$CM$397)</f>
        <v>9</v>
      </c>
      <c r="F361" s="795">
        <f>Top20Deb37[[#This Row],[Nb of Loans]]/Top20Deb37[[#Totals],[Nb of Loans]]</f>
        <v>2.4937655860349127E-3</v>
      </c>
    </row>
    <row r="362" spans="1:6" x14ac:dyDescent="0.25">
      <c r="A362" s="414" t="s">
        <v>1061</v>
      </c>
      <c r="B362" s="409" t="s">
        <v>1323</v>
      </c>
      <c r="C362" s="410">
        <f>_xlfn.XLOOKUP(A362,INPUT_DATA!$CJ$4:$CJ$397,INPUT_DATA!$CL$4:$CL$397)</f>
        <v>65776127</v>
      </c>
      <c r="D362" s="795">
        <f>Top20Deb37[[#This Row],[Principal Outstanding Balance]]/Top20Deb37[[#Totals],[Principal Outstanding Balance]]</f>
        <v>3.9290295866043289E-2</v>
      </c>
      <c r="E362" s="796">
        <f>_xlfn.XLOOKUP(A362,INPUT_DATA!$CJ$4:$CJ$397,INPUT_DATA!$CM$4:$CM$397)</f>
        <v>172</v>
      </c>
      <c r="F362" s="795">
        <f>Top20Deb37[[#This Row],[Nb of Loans]]/Top20Deb37[[#Totals],[Nb of Loans]]</f>
        <v>4.7658631199778333E-2</v>
      </c>
    </row>
    <row r="363" spans="1:6" x14ac:dyDescent="0.25">
      <c r="A363" s="414" t="s">
        <v>1063</v>
      </c>
      <c r="B363" s="409" t="s">
        <v>1324</v>
      </c>
      <c r="C363" s="410">
        <f>_xlfn.XLOOKUP(A363,INPUT_DATA!$CJ$4:$CJ$397,INPUT_DATA!$CL$4:$CL$397)</f>
        <v>15244360</v>
      </c>
      <c r="D363" s="795">
        <f>Top20Deb37[[#This Row],[Principal Outstanding Balance]]/Top20Deb37[[#Totals],[Principal Outstanding Balance]]</f>
        <v>9.1059696276808103E-3</v>
      </c>
      <c r="E363" s="796">
        <f>_xlfn.XLOOKUP(A363,INPUT_DATA!$CJ$4:$CJ$397,INPUT_DATA!$CM$4:$CM$397)</f>
        <v>21</v>
      </c>
      <c r="F363" s="795">
        <f>Top20Deb37[[#This Row],[Nb of Loans]]/Top20Deb37[[#Totals],[Nb of Loans]]</f>
        <v>5.8187863674147968E-3</v>
      </c>
    </row>
    <row r="364" spans="1:6" x14ac:dyDescent="0.25">
      <c r="A364" s="414" t="s">
        <v>1065</v>
      </c>
      <c r="B364" s="409" t="s">
        <v>1325</v>
      </c>
      <c r="C364" s="410">
        <f>_xlfn.XLOOKUP(A364,INPUT_DATA!$CJ$4:$CJ$397,INPUT_DATA!$CL$4:$CL$397)</f>
        <v>526507</v>
      </c>
      <c r="D364" s="795">
        <f>Top20Deb37[[#This Row],[Principal Outstanding Balance]]/Top20Deb37[[#Totals],[Principal Outstanding Balance]]</f>
        <v>3.1450036280705393E-4</v>
      </c>
      <c r="E364" s="796">
        <f>_xlfn.XLOOKUP(A364,INPUT_DATA!$CJ$4:$CJ$397,INPUT_DATA!$CM$4:$CM$397)</f>
        <v>3</v>
      </c>
      <c r="F364" s="795">
        <f>Top20Deb37[[#This Row],[Nb of Loans]]/Top20Deb37[[#Totals],[Nb of Loans]]</f>
        <v>8.3125519534497092E-4</v>
      </c>
    </row>
    <row r="365" spans="1:6" x14ac:dyDescent="0.25">
      <c r="A365" s="414" t="s">
        <v>1067</v>
      </c>
      <c r="B365" s="409" t="s">
        <v>1326</v>
      </c>
      <c r="C365" s="410">
        <f>_xlfn.XLOOKUP(A365,INPUT_DATA!$CJ$4:$CJ$397,INPUT_DATA!$CL$4:$CL$397)</f>
        <v>22378996</v>
      </c>
      <c r="D365" s="795">
        <f>Top20Deb37[[#This Row],[Principal Outstanding Balance]]/Top20Deb37[[#Totals],[Principal Outstanding Balance]]</f>
        <v>1.3367727990810395E-2</v>
      </c>
      <c r="E365" s="796">
        <f>_xlfn.XLOOKUP(A365,INPUT_DATA!$CJ$4:$CJ$397,INPUT_DATA!$CM$4:$CM$397)</f>
        <v>55</v>
      </c>
      <c r="F365" s="795">
        <f>Top20Deb37[[#This Row],[Nb of Loans]]/Top20Deb37[[#Totals],[Nb of Loans]]</f>
        <v>1.5239678581324467E-2</v>
      </c>
    </row>
    <row r="366" spans="1:6" x14ac:dyDescent="0.25">
      <c r="A366" s="414" t="s">
        <v>1069</v>
      </c>
      <c r="B366" s="409" t="s">
        <v>1327</v>
      </c>
      <c r="C366" s="410">
        <f>_xlfn.XLOOKUP(A366,INPUT_DATA!$CJ$4:$CJ$397,INPUT_DATA!$CL$4:$CL$397)</f>
        <v>0</v>
      </c>
      <c r="D366" s="795">
        <f>Top20Deb37[[#This Row],[Principal Outstanding Balance]]/Top20Deb37[[#Totals],[Principal Outstanding Balance]]</f>
        <v>0</v>
      </c>
      <c r="E366" s="796">
        <f>_xlfn.XLOOKUP(A366,INPUT_DATA!$CJ$4:$CJ$397,INPUT_DATA!$CM$4:$CM$397)</f>
        <v>0</v>
      </c>
      <c r="F366" s="795">
        <f>Top20Deb37[[#This Row],[Nb of Loans]]/Top20Deb37[[#Totals],[Nb of Loans]]</f>
        <v>0</v>
      </c>
    </row>
    <row r="367" spans="1:6" x14ac:dyDescent="0.25">
      <c r="A367" s="414" t="s">
        <v>1071</v>
      </c>
      <c r="B367" s="409" t="s">
        <v>1328</v>
      </c>
      <c r="C367" s="410">
        <f>_xlfn.XLOOKUP(A367,INPUT_DATA!$CJ$4:$CJ$397,INPUT_DATA!$CL$4:$CL$397)</f>
        <v>0</v>
      </c>
      <c r="D367" s="795">
        <f>Top20Deb37[[#This Row],[Principal Outstanding Balance]]/Top20Deb37[[#Totals],[Principal Outstanding Balance]]</f>
        <v>0</v>
      </c>
      <c r="E367" s="796">
        <f>_xlfn.XLOOKUP(A367,INPUT_DATA!$CJ$4:$CJ$397,INPUT_DATA!$CM$4:$CM$397)</f>
        <v>0</v>
      </c>
      <c r="F367" s="795">
        <f>Top20Deb37[[#This Row],[Nb of Loans]]/Top20Deb37[[#Totals],[Nb of Loans]]</f>
        <v>0</v>
      </c>
    </row>
    <row r="368" spans="1:6" x14ac:dyDescent="0.25">
      <c r="A368" s="414" t="s">
        <v>1073</v>
      </c>
      <c r="B368" s="409" t="s">
        <v>1329</v>
      </c>
      <c r="C368" s="410">
        <f>_xlfn.XLOOKUP(A368,INPUT_DATA!$CJ$4:$CJ$397,INPUT_DATA!$CL$4:$CL$397)</f>
        <v>718300</v>
      </c>
      <c r="D368" s="795">
        <f>Top20Deb37[[#This Row],[Principal Outstanding Balance]]/Top20Deb37[[#Totals],[Principal Outstanding Balance]]</f>
        <v>4.2906478091327718E-4</v>
      </c>
      <c r="E368" s="796">
        <f>_xlfn.XLOOKUP(A368,INPUT_DATA!$CJ$4:$CJ$397,INPUT_DATA!$CM$4:$CM$397)</f>
        <v>4</v>
      </c>
      <c r="F368" s="795">
        <f>Top20Deb37[[#This Row],[Nb of Loans]]/Top20Deb37[[#Totals],[Nb of Loans]]</f>
        <v>1.1083402604599613E-3</v>
      </c>
    </row>
    <row r="369" spans="1:6" x14ac:dyDescent="0.25">
      <c r="A369" s="414" t="s">
        <v>1075</v>
      </c>
      <c r="B369" s="409" t="s">
        <v>1330</v>
      </c>
      <c r="C369" s="410">
        <f>_xlfn.XLOOKUP(A369,INPUT_DATA!$CJ$4:$CJ$397,INPUT_DATA!$CL$4:$CL$397)</f>
        <v>831000</v>
      </c>
      <c r="D369" s="795">
        <f>Top20Deb37[[#This Row],[Principal Outstanding Balance]]/Top20Deb37[[#Totals],[Principal Outstanding Balance]]</f>
        <v>4.9638428642479924E-4</v>
      </c>
      <c r="E369" s="796">
        <f>_xlfn.XLOOKUP(A369,INPUT_DATA!$CJ$4:$CJ$397,INPUT_DATA!$CM$4:$CM$397)</f>
        <v>2</v>
      </c>
      <c r="F369" s="795">
        <f>Top20Deb37[[#This Row],[Nb of Loans]]/Top20Deb37[[#Totals],[Nb of Loans]]</f>
        <v>5.5417013022998065E-4</v>
      </c>
    </row>
    <row r="370" spans="1:6" x14ac:dyDescent="0.25">
      <c r="A370" s="414" t="s">
        <v>1077</v>
      </c>
      <c r="B370" s="409" t="s">
        <v>1331</v>
      </c>
      <c r="C370" s="410">
        <f>_xlfn.XLOOKUP(A370,INPUT_DATA!$CJ$4:$CJ$397,INPUT_DATA!$CL$4:$CL$397)</f>
        <v>9114419</v>
      </c>
      <c r="D370" s="795">
        <f>Top20Deb37[[#This Row],[Principal Outstanding Balance]]/Top20Deb37[[#Totals],[Principal Outstanding Balance]]</f>
        <v>5.4443494241776568E-3</v>
      </c>
      <c r="E370" s="796">
        <f>_xlfn.XLOOKUP(A370,INPUT_DATA!$CJ$4:$CJ$397,INPUT_DATA!$CM$4:$CM$397)</f>
        <v>30</v>
      </c>
      <c r="F370" s="795">
        <f>Top20Deb37[[#This Row],[Nb of Loans]]/Top20Deb37[[#Totals],[Nb of Loans]]</f>
        <v>8.3125519534497094E-3</v>
      </c>
    </row>
    <row r="371" spans="1:6" x14ac:dyDescent="0.25">
      <c r="A371" s="414" t="s">
        <v>1079</v>
      </c>
      <c r="B371" s="409" t="s">
        <v>1332</v>
      </c>
      <c r="C371" s="410">
        <f>_xlfn.XLOOKUP(A371,INPUT_DATA!$CJ$4:$CJ$397,INPUT_DATA!$CL$4:$CL$397)</f>
        <v>1451316</v>
      </c>
      <c r="D371" s="795">
        <f>Top20Deb37[[#This Row],[Principal Outstanding Balance]]/Top20Deb37[[#Totals],[Principal Outstanding Balance]]</f>
        <v>8.6691992423212276E-4</v>
      </c>
      <c r="E371" s="796">
        <f>_xlfn.XLOOKUP(A371,INPUT_DATA!$CJ$4:$CJ$397,INPUT_DATA!$CM$4:$CM$397)</f>
        <v>4</v>
      </c>
      <c r="F371" s="795">
        <f>Top20Deb37[[#This Row],[Nb of Loans]]/Top20Deb37[[#Totals],[Nb of Loans]]</f>
        <v>1.1083402604599613E-3</v>
      </c>
    </row>
    <row r="372" spans="1:6" x14ac:dyDescent="0.25">
      <c r="A372" s="414" t="s">
        <v>1081</v>
      </c>
      <c r="B372" s="409" t="s">
        <v>1333</v>
      </c>
      <c r="C372" s="410">
        <f>_xlfn.XLOOKUP(A372,INPUT_DATA!$CJ$4:$CJ$397,INPUT_DATA!$CL$4:$CL$397)</f>
        <v>1089392</v>
      </c>
      <c r="D372" s="795">
        <f>Top20Deb37[[#This Row],[Principal Outstanding Balance]]/Top20Deb37[[#Totals],[Principal Outstanding Balance]]</f>
        <v>6.5073053015268952E-4</v>
      </c>
      <c r="E372" s="796">
        <f>_xlfn.XLOOKUP(A372,INPUT_DATA!$CJ$4:$CJ$397,INPUT_DATA!$CM$4:$CM$397)</f>
        <v>8</v>
      </c>
      <c r="F372" s="795">
        <f>Top20Deb37[[#This Row],[Nb of Loans]]/Top20Deb37[[#Totals],[Nb of Loans]]</f>
        <v>2.2166805209199226E-3</v>
      </c>
    </row>
    <row r="373" spans="1:6" x14ac:dyDescent="0.25">
      <c r="A373" s="414" t="s">
        <v>1083</v>
      </c>
      <c r="B373" s="409" t="s">
        <v>1334</v>
      </c>
      <c r="C373" s="410">
        <f>_xlfn.XLOOKUP(A373,INPUT_DATA!$CJ$4:$CJ$397,INPUT_DATA!$CL$4:$CL$397)</f>
        <v>1020000</v>
      </c>
      <c r="D373" s="795">
        <f>Top20Deb37[[#This Row],[Principal Outstanding Balance]]/Top20Deb37[[#Totals],[Principal Outstanding Balance]]</f>
        <v>6.0928035156834575E-4</v>
      </c>
      <c r="E373" s="796">
        <f>_xlfn.XLOOKUP(A373,INPUT_DATA!$CJ$4:$CJ$397,INPUT_DATA!$CM$4:$CM$397)</f>
        <v>4</v>
      </c>
      <c r="F373" s="795">
        <f>Top20Deb37[[#This Row],[Nb of Loans]]/Top20Deb37[[#Totals],[Nb of Loans]]</f>
        <v>1.1083402604599613E-3</v>
      </c>
    </row>
    <row r="374" spans="1:6" x14ac:dyDescent="0.25">
      <c r="A374" s="414" t="s">
        <v>1085</v>
      </c>
      <c r="B374" s="409" t="s">
        <v>1335</v>
      </c>
      <c r="C374" s="410">
        <f>_xlfn.XLOOKUP(A374,INPUT_DATA!$CJ$4:$CJ$397,INPUT_DATA!$CL$4:$CL$397)</f>
        <v>12469019</v>
      </c>
      <c r="D374" s="795">
        <f>Top20Deb37[[#This Row],[Principal Outstanding Balance]]/Top20Deb37[[#Totals],[Principal Outstanding Balance]]</f>
        <v>7.4481649804239046E-3</v>
      </c>
      <c r="E374" s="796">
        <f>_xlfn.XLOOKUP(A374,INPUT_DATA!$CJ$4:$CJ$397,INPUT_DATA!$CM$4:$CM$397)</f>
        <v>24</v>
      </c>
      <c r="F374" s="795">
        <f>Top20Deb37[[#This Row],[Nb of Loans]]/Top20Deb37[[#Totals],[Nb of Loans]]</f>
        <v>6.6500415627597674E-3</v>
      </c>
    </row>
    <row r="375" spans="1:6" x14ac:dyDescent="0.25">
      <c r="A375" s="414" t="s">
        <v>1087</v>
      </c>
      <c r="B375" s="409" t="s">
        <v>1336</v>
      </c>
      <c r="C375" s="410">
        <f>_xlfn.XLOOKUP(A375,INPUT_DATA!$CJ$4:$CJ$397,INPUT_DATA!$CL$4:$CL$397)</f>
        <v>20075356.170000002</v>
      </c>
      <c r="D375" s="795">
        <f>Top20Deb37[[#This Row],[Principal Outstanding Balance]]/Top20Deb37[[#Totals],[Principal Outstanding Balance]]</f>
        <v>1.1991686338350353E-2</v>
      </c>
      <c r="E375" s="796">
        <f>_xlfn.XLOOKUP(A375,INPUT_DATA!$CJ$4:$CJ$397,INPUT_DATA!$CM$4:$CM$397)</f>
        <v>75</v>
      </c>
      <c r="F375" s="795">
        <f>Top20Deb37[[#This Row],[Nb of Loans]]/Top20Deb37[[#Totals],[Nb of Loans]]</f>
        <v>2.0781379883624274E-2</v>
      </c>
    </row>
    <row r="376" spans="1:6" x14ac:dyDescent="0.25">
      <c r="A376" s="414" t="s">
        <v>1089</v>
      </c>
      <c r="B376" s="409" t="s">
        <v>1337</v>
      </c>
      <c r="C376" s="410">
        <f>_xlfn.XLOOKUP(A376,INPUT_DATA!$CJ$4:$CJ$397,INPUT_DATA!$CL$4:$CL$397)</f>
        <v>0</v>
      </c>
      <c r="D376" s="795">
        <f>Top20Deb37[[#This Row],[Principal Outstanding Balance]]/Top20Deb37[[#Totals],[Principal Outstanding Balance]]</f>
        <v>0</v>
      </c>
      <c r="E376" s="796">
        <f>_xlfn.XLOOKUP(A376,INPUT_DATA!$CJ$4:$CJ$397,INPUT_DATA!$CM$4:$CM$397)</f>
        <v>0</v>
      </c>
      <c r="F376" s="795">
        <f>Top20Deb37[[#This Row],[Nb of Loans]]/Top20Deb37[[#Totals],[Nb of Loans]]</f>
        <v>0</v>
      </c>
    </row>
    <row r="377" spans="1:6" x14ac:dyDescent="0.25">
      <c r="A377" s="414" t="s">
        <v>1091</v>
      </c>
      <c r="B377" s="409" t="s">
        <v>1338</v>
      </c>
      <c r="C377" s="410">
        <f>_xlfn.XLOOKUP(A377,INPUT_DATA!$CJ$4:$CJ$397,INPUT_DATA!$CL$4:$CL$397)</f>
        <v>1614077</v>
      </c>
      <c r="D377" s="795">
        <f>Top20Deb37[[#This Row],[Principal Outstanding Balance]]/Top20Deb37[[#Totals],[Principal Outstanding Balance]]</f>
        <v>9.6414255099841245E-4</v>
      </c>
      <c r="E377" s="796">
        <f>_xlfn.XLOOKUP(A377,INPUT_DATA!$CJ$4:$CJ$397,INPUT_DATA!$CM$4:$CM$397)</f>
        <v>9</v>
      </c>
      <c r="F377" s="795">
        <f>Top20Deb37[[#This Row],[Nb of Loans]]/Top20Deb37[[#Totals],[Nb of Loans]]</f>
        <v>2.4937655860349127E-3</v>
      </c>
    </row>
    <row r="378" spans="1:6" x14ac:dyDescent="0.25">
      <c r="A378" s="414" t="s">
        <v>1093</v>
      </c>
      <c r="B378" s="409" t="s">
        <v>1339</v>
      </c>
      <c r="C378" s="410">
        <f>_xlfn.XLOOKUP(A378,INPUT_DATA!$CJ$4:$CJ$397,INPUT_DATA!$CL$4:$CL$397)</f>
        <v>134670</v>
      </c>
      <c r="D378" s="795">
        <f>Top20Deb37[[#This Row],[Principal Outstanding Balance]]/Top20Deb37[[#Totals],[Principal Outstanding Balance]]</f>
        <v>8.0442926417361878E-5</v>
      </c>
      <c r="E378" s="796">
        <f>_xlfn.XLOOKUP(A378,INPUT_DATA!$CJ$4:$CJ$397,INPUT_DATA!$CM$4:$CM$397)</f>
        <v>1</v>
      </c>
      <c r="F378" s="795">
        <f>Top20Deb37[[#This Row],[Nb of Loans]]/Top20Deb37[[#Totals],[Nb of Loans]]</f>
        <v>2.7708506511499033E-4</v>
      </c>
    </row>
    <row r="379" spans="1:6" x14ac:dyDescent="0.25">
      <c r="A379" s="414" t="s">
        <v>1095</v>
      </c>
      <c r="B379" s="409" t="s">
        <v>1340</v>
      </c>
      <c r="C379" s="410">
        <f>_xlfn.XLOOKUP(A379,INPUT_DATA!$CJ$4:$CJ$397,INPUT_DATA!$CL$4:$CL$397)</f>
        <v>0</v>
      </c>
      <c r="D379" s="795">
        <f>Top20Deb37[[#This Row],[Principal Outstanding Balance]]/Top20Deb37[[#Totals],[Principal Outstanding Balance]]</f>
        <v>0</v>
      </c>
      <c r="E379" s="796">
        <f>_xlfn.XLOOKUP(A379,INPUT_DATA!$CJ$4:$CJ$397,INPUT_DATA!$CM$4:$CM$397)</f>
        <v>0</v>
      </c>
      <c r="F379" s="795">
        <f>Top20Deb37[[#This Row],[Nb of Loans]]/Top20Deb37[[#Totals],[Nb of Loans]]</f>
        <v>0</v>
      </c>
    </row>
    <row r="380" spans="1:6" x14ac:dyDescent="0.25">
      <c r="A380" s="414" t="s">
        <v>1097</v>
      </c>
      <c r="B380" s="409" t="s">
        <v>1341</v>
      </c>
      <c r="C380" s="410">
        <f>_xlfn.XLOOKUP(A380,INPUT_DATA!$CJ$4:$CJ$397,INPUT_DATA!$CL$4:$CL$397)</f>
        <v>34526316</v>
      </c>
      <c r="D380" s="795">
        <f>Top20Deb37[[#This Row],[Principal Outstanding Balance]]/Top20Deb37[[#Totals],[Principal Outstanding Balance]]</f>
        <v>2.0623731324352745E-2</v>
      </c>
      <c r="E380" s="796">
        <f>_xlfn.XLOOKUP(A380,INPUT_DATA!$CJ$4:$CJ$397,INPUT_DATA!$CM$4:$CM$397)</f>
        <v>122</v>
      </c>
      <c r="F380" s="795">
        <f>Top20Deb37[[#This Row],[Nb of Loans]]/Top20Deb37[[#Totals],[Nb of Loans]]</f>
        <v>3.3804377944028817E-2</v>
      </c>
    </row>
    <row r="381" spans="1:6" x14ac:dyDescent="0.25">
      <c r="A381" s="414" t="s">
        <v>1099</v>
      </c>
      <c r="B381" s="409" t="s">
        <v>1342</v>
      </c>
      <c r="C381" s="410">
        <f>_xlfn.XLOOKUP(A381,INPUT_DATA!$CJ$4:$CJ$397,INPUT_DATA!$CL$4:$CL$397)</f>
        <v>806000</v>
      </c>
      <c r="D381" s="795">
        <f>Top20Deb37[[#This Row],[Principal Outstanding Balance]]/Top20Deb37[[#Totals],[Principal Outstanding Balance]]</f>
        <v>4.8145094447459474E-4</v>
      </c>
      <c r="E381" s="796">
        <f>_xlfn.XLOOKUP(A381,INPUT_DATA!$CJ$4:$CJ$397,INPUT_DATA!$CM$4:$CM$397)</f>
        <v>3</v>
      </c>
      <c r="F381" s="795">
        <f>Top20Deb37[[#This Row],[Nb of Loans]]/Top20Deb37[[#Totals],[Nb of Loans]]</f>
        <v>8.3125519534497092E-4</v>
      </c>
    </row>
    <row r="382" spans="1:6" x14ac:dyDescent="0.25">
      <c r="A382" s="414" t="s">
        <v>1101</v>
      </c>
      <c r="B382" s="409" t="s">
        <v>1343</v>
      </c>
      <c r="C382" s="410">
        <f>_xlfn.XLOOKUP(A382,INPUT_DATA!$CJ$4:$CJ$397,INPUT_DATA!$CL$4:$CL$397)</f>
        <v>435000</v>
      </c>
      <c r="D382" s="795">
        <f>Top20Deb37[[#This Row],[Principal Outstanding Balance]]/Top20Deb37[[#Totals],[Principal Outstanding Balance]]</f>
        <v>2.5984014993355917E-4</v>
      </c>
      <c r="E382" s="796">
        <f>_xlfn.XLOOKUP(A382,INPUT_DATA!$CJ$4:$CJ$397,INPUT_DATA!$CM$4:$CM$397)</f>
        <v>2</v>
      </c>
      <c r="F382" s="795">
        <f>Top20Deb37[[#This Row],[Nb of Loans]]/Top20Deb37[[#Totals],[Nb of Loans]]</f>
        <v>5.5417013022998065E-4</v>
      </c>
    </row>
    <row r="383" spans="1:6" x14ac:dyDescent="0.25">
      <c r="A383" s="414" t="s">
        <v>1103</v>
      </c>
      <c r="B383" s="409" t="s">
        <v>1344</v>
      </c>
      <c r="C383" s="410">
        <f>_xlfn.XLOOKUP(A383,INPUT_DATA!$CJ$4:$CJ$397,INPUT_DATA!$CL$4:$CL$397)</f>
        <v>732250</v>
      </c>
      <c r="D383" s="795">
        <f>Top20Deb37[[#This Row],[Principal Outstanding Balance]]/Top20Deb37[[#Totals],[Principal Outstanding Balance]]</f>
        <v>4.3739758572149129E-4</v>
      </c>
      <c r="E383" s="796">
        <f>_xlfn.XLOOKUP(A383,INPUT_DATA!$CJ$4:$CJ$397,INPUT_DATA!$CM$4:$CM$397)</f>
        <v>4</v>
      </c>
      <c r="F383" s="795">
        <f>Top20Deb37[[#This Row],[Nb of Loans]]/Top20Deb37[[#Totals],[Nb of Loans]]</f>
        <v>1.1083402604599613E-3</v>
      </c>
    </row>
    <row r="384" spans="1:6" x14ac:dyDescent="0.25">
      <c r="A384" s="414" t="s">
        <v>1105</v>
      </c>
      <c r="B384" s="409" t="s">
        <v>1345</v>
      </c>
      <c r="C384" s="410">
        <f>_xlfn.XLOOKUP(A384,INPUT_DATA!$CJ$4:$CJ$397,INPUT_DATA!$CL$4:$CL$397)</f>
        <v>1405771</v>
      </c>
      <c r="D384" s="795">
        <f>Top20Deb37[[#This Row],[Principal Outstanding Balance]]/Top20Deb37[[#Totals],[Principal Outstanding Balance]]</f>
        <v>8.3971436186724014E-4</v>
      </c>
      <c r="E384" s="796">
        <f>_xlfn.XLOOKUP(A384,INPUT_DATA!$CJ$4:$CJ$397,INPUT_DATA!$CM$4:$CM$397)</f>
        <v>6</v>
      </c>
      <c r="F384" s="795">
        <f>Top20Deb37[[#This Row],[Nb of Loans]]/Top20Deb37[[#Totals],[Nb of Loans]]</f>
        <v>1.6625103906899418E-3</v>
      </c>
    </row>
    <row r="385" spans="1:6" x14ac:dyDescent="0.25">
      <c r="A385" s="414" t="s">
        <v>1107</v>
      </c>
      <c r="B385" s="409" t="s">
        <v>1346</v>
      </c>
      <c r="C385" s="410">
        <f>_xlfn.XLOOKUP(A385,INPUT_DATA!$CJ$4:$CJ$397,INPUT_DATA!$CL$4:$CL$397)</f>
        <v>1982965</v>
      </c>
      <c r="D385" s="795">
        <f>Top20Deb37[[#This Row],[Principal Outstanding Balance]]/Top20Deb37[[#Totals],[Principal Outstanding Balance]]</f>
        <v>1.1844917768114947E-3</v>
      </c>
      <c r="E385" s="796">
        <f>_xlfn.XLOOKUP(A385,INPUT_DATA!$CJ$4:$CJ$397,INPUT_DATA!$CM$4:$CM$397)</f>
        <v>7</v>
      </c>
      <c r="F385" s="795">
        <f>Top20Deb37[[#This Row],[Nb of Loans]]/Top20Deb37[[#Totals],[Nb of Loans]]</f>
        <v>1.9395954558049321E-3</v>
      </c>
    </row>
    <row r="386" spans="1:6" x14ac:dyDescent="0.25">
      <c r="A386" s="414" t="s">
        <v>1109</v>
      </c>
      <c r="B386" s="409" t="s">
        <v>1347</v>
      </c>
      <c r="C386" s="410">
        <f>_xlfn.XLOOKUP(A386,INPUT_DATA!$CJ$4:$CJ$397,INPUT_DATA!$CL$4:$CL$397)</f>
        <v>717971</v>
      </c>
      <c r="D386" s="795">
        <f>Top20Deb37[[#This Row],[Principal Outstanding Balance]]/Top20Deb37[[#Totals],[Principal Outstanding Balance]]</f>
        <v>4.2886825813321245E-4</v>
      </c>
      <c r="E386" s="796">
        <f>_xlfn.XLOOKUP(A386,INPUT_DATA!$CJ$4:$CJ$397,INPUT_DATA!$CM$4:$CM$397)</f>
        <v>2</v>
      </c>
      <c r="F386" s="795">
        <f>Top20Deb37[[#This Row],[Nb of Loans]]/Top20Deb37[[#Totals],[Nb of Loans]]</f>
        <v>5.5417013022998065E-4</v>
      </c>
    </row>
    <row r="387" spans="1:6" x14ac:dyDescent="0.25">
      <c r="A387" s="414" t="s">
        <v>1111</v>
      </c>
      <c r="B387" s="409" t="s">
        <v>1348</v>
      </c>
      <c r="C387" s="410">
        <f>_xlfn.XLOOKUP(A387,INPUT_DATA!$CJ$4:$CJ$397,INPUT_DATA!$CL$4:$CL$397)</f>
        <v>243200</v>
      </c>
      <c r="D387" s="795">
        <f>Top20Deb37[[#This Row],[Principal Outstanding Balance]]/Top20Deb37[[#Totals],[Principal Outstanding Balance]]</f>
        <v>1.4527155049158988E-4</v>
      </c>
      <c r="E387" s="796">
        <f>_xlfn.XLOOKUP(A387,INPUT_DATA!$CJ$4:$CJ$397,INPUT_DATA!$CM$4:$CM$397)</f>
        <v>1</v>
      </c>
      <c r="F387" s="795">
        <f>Top20Deb37[[#This Row],[Nb of Loans]]/Top20Deb37[[#Totals],[Nb of Loans]]</f>
        <v>2.7708506511499033E-4</v>
      </c>
    </row>
    <row r="388" spans="1:6" x14ac:dyDescent="0.25">
      <c r="A388" s="414" t="s">
        <v>1113</v>
      </c>
      <c r="B388" s="409" t="s">
        <v>1349</v>
      </c>
      <c r="C388" s="410">
        <f>_xlfn.XLOOKUP(A388,INPUT_DATA!$CJ$4:$CJ$397,INPUT_DATA!$CL$4:$CL$397)</f>
        <v>220285</v>
      </c>
      <c r="D388" s="795">
        <f>Top20Deb37[[#This Row],[Principal Outstanding Balance]]/Top20Deb37[[#Totals],[Principal Outstanding Balance]]</f>
        <v>1.3158364926003238E-4</v>
      </c>
      <c r="E388" s="796">
        <f>_xlfn.XLOOKUP(A388,INPUT_DATA!$CJ$4:$CJ$397,INPUT_DATA!$CM$4:$CM$397)</f>
        <v>1</v>
      </c>
      <c r="F388" s="795">
        <f>Top20Deb37[[#This Row],[Nb of Loans]]/Top20Deb37[[#Totals],[Nb of Loans]]</f>
        <v>2.7708506511499033E-4</v>
      </c>
    </row>
    <row r="389" spans="1:6" x14ac:dyDescent="0.25">
      <c r="A389" s="414" t="s">
        <v>1115</v>
      </c>
      <c r="B389" s="409" t="s">
        <v>1350</v>
      </c>
      <c r="C389" s="410">
        <f>_xlfn.XLOOKUP(A389,INPUT_DATA!$CJ$4:$CJ$397,INPUT_DATA!$CL$4:$CL$397)</f>
        <v>2851009</v>
      </c>
      <c r="D389" s="795">
        <f>Top20Deb37[[#This Row],[Principal Outstanding Balance]]/Top20Deb37[[#Totals],[Principal Outstanding Balance]]</f>
        <v>1.703003692004429E-3</v>
      </c>
      <c r="E389" s="796">
        <f>_xlfn.XLOOKUP(A389,INPUT_DATA!$CJ$4:$CJ$397,INPUT_DATA!$CM$4:$CM$397)</f>
        <v>13</v>
      </c>
      <c r="F389" s="795">
        <f>Top20Deb37[[#This Row],[Nb of Loans]]/Top20Deb37[[#Totals],[Nb of Loans]]</f>
        <v>3.6021058464948737E-3</v>
      </c>
    </row>
    <row r="390" spans="1:6" x14ac:dyDescent="0.25">
      <c r="A390" s="414" t="s">
        <v>1117</v>
      </c>
      <c r="B390" s="409" t="s">
        <v>1351</v>
      </c>
      <c r="C390" s="410">
        <f>_xlfn.XLOOKUP(A390,INPUT_DATA!$CJ$4:$CJ$397,INPUT_DATA!$CL$4:$CL$397)</f>
        <v>5621173</v>
      </c>
      <c r="D390" s="795">
        <f>Top20Deb37[[#This Row],[Principal Outstanding Balance]]/Top20Deb37[[#Totals],[Principal Outstanding Balance]]</f>
        <v>3.3577159428102867E-3</v>
      </c>
      <c r="E390" s="796">
        <f>_xlfn.XLOOKUP(A390,INPUT_DATA!$CJ$4:$CJ$397,INPUT_DATA!$CM$4:$CM$397)</f>
        <v>14</v>
      </c>
      <c r="F390" s="795">
        <f>Top20Deb37[[#This Row],[Nb of Loans]]/Top20Deb37[[#Totals],[Nb of Loans]]</f>
        <v>3.8791909116098642E-3</v>
      </c>
    </row>
    <row r="391" spans="1:6" x14ac:dyDescent="0.25">
      <c r="A391" s="414" t="s">
        <v>1119</v>
      </c>
      <c r="B391" s="409" t="s">
        <v>1352</v>
      </c>
      <c r="C391" s="410">
        <f>_xlfn.XLOOKUP(A391,INPUT_DATA!$CJ$4:$CJ$397,INPUT_DATA!$CL$4:$CL$397)</f>
        <v>1105000</v>
      </c>
      <c r="D391" s="795">
        <f>Top20Deb37[[#This Row],[Principal Outstanding Balance]]/Top20Deb37[[#Totals],[Principal Outstanding Balance]]</f>
        <v>6.6005371419904113E-4</v>
      </c>
      <c r="E391" s="796">
        <f>_xlfn.XLOOKUP(A391,INPUT_DATA!$CJ$4:$CJ$397,INPUT_DATA!$CM$4:$CM$397)</f>
        <v>3</v>
      </c>
      <c r="F391" s="795">
        <f>Top20Deb37[[#This Row],[Nb of Loans]]/Top20Deb37[[#Totals],[Nb of Loans]]</f>
        <v>8.3125519534497092E-4</v>
      </c>
    </row>
    <row r="392" spans="1:6" x14ac:dyDescent="0.25">
      <c r="A392" s="414" t="s">
        <v>1121</v>
      </c>
      <c r="B392" s="409" t="s">
        <v>1353</v>
      </c>
      <c r="C392" s="410">
        <f>_xlfn.XLOOKUP(A392,INPUT_DATA!$CJ$4:$CJ$397,INPUT_DATA!$CL$4:$CL$397)</f>
        <v>2220852</v>
      </c>
      <c r="D392" s="795">
        <f>Top20Deb37[[#This Row],[Principal Outstanding Balance]]/Top20Deb37[[#Totals],[Principal Outstanding Balance]]</f>
        <v>1.326589693471827E-3</v>
      </c>
      <c r="E392" s="796">
        <f>_xlfn.XLOOKUP(A392,INPUT_DATA!$CJ$4:$CJ$397,INPUT_DATA!$CM$4:$CM$397)</f>
        <v>8</v>
      </c>
      <c r="F392" s="795">
        <f>Top20Deb37[[#This Row],[Nb of Loans]]/Top20Deb37[[#Totals],[Nb of Loans]]</f>
        <v>2.2166805209199226E-3</v>
      </c>
    </row>
    <row r="393" spans="1:6" x14ac:dyDescent="0.25">
      <c r="A393" s="414" t="s">
        <v>1123</v>
      </c>
      <c r="B393" s="409" t="s">
        <v>1354</v>
      </c>
      <c r="C393" s="410">
        <f>_xlfn.XLOOKUP(A393,INPUT_DATA!$CJ$4:$CJ$397,INPUT_DATA!$CL$4:$CL$397)</f>
        <v>15045915</v>
      </c>
      <c r="D393" s="795">
        <f>Top20Deb37[[#This Row],[Principal Outstanding Balance]]/Top20Deb37[[#Totals],[Principal Outstanding Balance]]</f>
        <v>8.9874317459484772E-3</v>
      </c>
      <c r="E393" s="796">
        <f>_xlfn.XLOOKUP(A393,INPUT_DATA!$CJ$4:$CJ$397,INPUT_DATA!$CM$4:$CM$397)</f>
        <v>53</v>
      </c>
      <c r="F393" s="795">
        <f>Top20Deb37[[#This Row],[Nb of Loans]]/Top20Deb37[[#Totals],[Nb of Loans]]</f>
        <v>1.4685508451094486E-2</v>
      </c>
    </row>
    <row r="394" spans="1:6" x14ac:dyDescent="0.25">
      <c r="A394" s="414" t="s">
        <v>1125</v>
      </c>
      <c r="B394" s="409" t="s">
        <v>1355</v>
      </c>
      <c r="C394" s="410">
        <f>_xlfn.XLOOKUP(A394,INPUT_DATA!$CJ$4:$CJ$397,INPUT_DATA!$CL$4:$CL$397)</f>
        <v>3814466</v>
      </c>
      <c r="D394" s="411">
        <f>Top20Deb37[[#This Row],[Principal Outstanding Balance]]/Top20Deb37[[#Totals],[Principal Outstanding Balance]]</f>
        <v>2.2785090054171582E-3</v>
      </c>
      <c r="E394" s="412">
        <f>_xlfn.XLOOKUP(A394,INPUT_DATA!$CJ$4:$CJ$397,INPUT_DATA!$CM$4:$CM$397)</f>
        <v>15</v>
      </c>
      <c r="F394" s="411">
        <f>Top20Deb37[[#This Row],[Nb of Loans]]/Top20Deb37[[#Totals],[Nb of Loans]]</f>
        <v>4.1562759767248547E-3</v>
      </c>
    </row>
    <row r="395" spans="1:6" x14ac:dyDescent="0.25">
      <c r="A395" s="414" t="s">
        <v>1127</v>
      </c>
      <c r="B395" s="409" t="s">
        <v>1356</v>
      </c>
      <c r="C395" s="410">
        <f>_xlfn.XLOOKUP(A395,INPUT_DATA!$CJ$4:$CJ$397,INPUT_DATA!$CL$4:$CL$397)</f>
        <v>56640763</v>
      </c>
      <c r="D395" s="411">
        <f>Top20Deb37[[#This Row],[Principal Outstanding Balance]]/Top20Deb37[[#Totals],[Principal Outstanding Balance]]</f>
        <v>3.3833435287979753E-2</v>
      </c>
      <c r="E395" s="412">
        <f>_xlfn.XLOOKUP(A395,INPUT_DATA!$CJ$4:$CJ$397,INPUT_DATA!$CM$4:$CM$397)</f>
        <v>146</v>
      </c>
      <c r="F395" s="411">
        <f>Top20Deb37[[#This Row],[Nb of Loans]]/Top20Deb37[[#Totals],[Nb of Loans]]</f>
        <v>4.0454419506788582E-2</v>
      </c>
    </row>
    <row r="396" spans="1:6" x14ac:dyDescent="0.25">
      <c r="A396" s="414" t="s">
        <v>1129</v>
      </c>
      <c r="B396" s="409" t="s">
        <v>1357</v>
      </c>
      <c r="C396" s="410">
        <f>_xlfn.XLOOKUP(A396,INPUT_DATA!$CJ$4:$CJ$397,INPUT_DATA!$CL$4:$CL$397)</f>
        <v>18181286</v>
      </c>
      <c r="D396" s="411">
        <f>Top20Deb37[[#This Row],[Principal Outstanding Balance]]/Top20Deb37[[#Totals],[Principal Outstanding Balance]]</f>
        <v>1.0860294437298669E-2</v>
      </c>
      <c r="E396" s="412">
        <f>_xlfn.XLOOKUP(A396,INPUT_DATA!$CJ$4:$CJ$397,INPUT_DATA!$CM$4:$CM$397)</f>
        <v>45</v>
      </c>
      <c r="F396" s="411">
        <f>Top20Deb37[[#This Row],[Nb of Loans]]/Top20Deb37[[#Totals],[Nb of Loans]]</f>
        <v>1.2468827930174564E-2</v>
      </c>
    </row>
    <row r="397" spans="1:6" x14ac:dyDescent="0.25">
      <c r="A397" s="414" t="s">
        <v>1131</v>
      </c>
      <c r="B397" s="409" t="s">
        <v>1358</v>
      </c>
      <c r="C397" s="410">
        <f>_xlfn.XLOOKUP(A397,INPUT_DATA!$CJ$4:$CJ$397,INPUT_DATA!$CL$4:$CL$397)</f>
        <v>17950902</v>
      </c>
      <c r="D397" s="411">
        <f>Top20Deb37[[#This Row],[Principal Outstanding Balance]]/Top20Deb37[[#Totals],[Principal Outstanding Balance]]</f>
        <v>1.0722678315224431E-2</v>
      </c>
      <c r="E397" s="412">
        <f>_xlfn.XLOOKUP(A397,INPUT_DATA!$CJ$4:$CJ$397,INPUT_DATA!$CM$4:$CM$397)</f>
        <v>42</v>
      </c>
      <c r="F397" s="411">
        <f>Top20Deb37[[#This Row],[Nb of Loans]]/Top20Deb37[[#Totals],[Nb of Loans]]</f>
        <v>1.1637572734829594E-2</v>
      </c>
    </row>
    <row r="398" spans="1:6" x14ac:dyDescent="0.25">
      <c r="A398" s="414" t="s">
        <v>1133</v>
      </c>
      <c r="B398" s="409" t="s">
        <v>1359</v>
      </c>
      <c r="C398" s="410">
        <f>_xlfn.XLOOKUP(A398,INPUT_DATA!$CJ$4:$CJ$397,INPUT_DATA!$CL$4:$CL$397)</f>
        <v>3045286</v>
      </c>
      <c r="D398" s="411">
        <f>Top20Deb37[[#This Row],[Principal Outstanding Balance]]/Top20Deb37[[#Totals],[Principal Outstanding Balance]]</f>
        <v>1.8190518869668248E-3</v>
      </c>
      <c r="E398" s="412">
        <f>_xlfn.XLOOKUP(A398,INPUT_DATA!$CJ$4:$CJ$397,INPUT_DATA!$CM$4:$CM$397)</f>
        <v>13</v>
      </c>
      <c r="F398" s="411">
        <f>Top20Deb37[[#This Row],[Nb of Loans]]/Top20Deb37[[#Totals],[Nb of Loans]]</f>
        <v>3.6021058464948737E-3</v>
      </c>
    </row>
    <row r="399" spans="1:6" x14ac:dyDescent="0.25">
      <c r="A399" s="414" t="s">
        <v>1135</v>
      </c>
      <c r="B399" s="409" t="s">
        <v>1360</v>
      </c>
      <c r="C399" s="410">
        <f>_xlfn.XLOOKUP(A399,INPUT_DATA!$CJ$4:$CJ$397,INPUT_DATA!$CL$4:$CL$397)</f>
        <v>0</v>
      </c>
      <c r="D399" s="411">
        <f>Top20Deb37[[#This Row],[Principal Outstanding Balance]]/Top20Deb37[[#Totals],[Principal Outstanding Balance]]</f>
        <v>0</v>
      </c>
      <c r="E399" s="412">
        <f>_xlfn.XLOOKUP(A399,INPUT_DATA!$CJ$4:$CJ$397,INPUT_DATA!$CM$4:$CM$397)</f>
        <v>0</v>
      </c>
      <c r="F399" s="411">
        <f>Top20Deb37[[#This Row],[Nb of Loans]]/Top20Deb37[[#Totals],[Nb of Loans]]</f>
        <v>0</v>
      </c>
    </row>
    <row r="400" spans="1:6" x14ac:dyDescent="0.25">
      <c r="A400" s="414" t="s">
        <v>1137</v>
      </c>
      <c r="B400" s="409" t="s">
        <v>1361</v>
      </c>
      <c r="C400" s="410">
        <f>_xlfn.XLOOKUP(A400,INPUT_DATA!$CJ$4:$CJ$397,INPUT_DATA!$CL$4:$CL$397)</f>
        <v>128929254.56</v>
      </c>
      <c r="D400" s="411">
        <f>Top20Deb37[[#This Row],[Principal Outstanding Balance]]/Top20Deb37[[#Totals],[Principal Outstanding Balance]]</f>
        <v>7.7013785829177978E-2</v>
      </c>
      <c r="E400" s="412">
        <f>_xlfn.XLOOKUP(A400,INPUT_DATA!$CJ$4:$CJ$397,INPUT_DATA!$CM$4:$CM$397)</f>
        <v>276</v>
      </c>
      <c r="F400" s="411">
        <f>Top20Deb37[[#This Row],[Nb of Loans]]/Top20Deb37[[#Totals],[Nb of Loans]]</f>
        <v>7.647547797173733E-2</v>
      </c>
    </row>
    <row r="401" spans="1:8" x14ac:dyDescent="0.25">
      <c r="A401" s="414" t="s">
        <v>1139</v>
      </c>
      <c r="B401" s="409" t="s">
        <v>1362</v>
      </c>
      <c r="C401" s="410">
        <f>_xlfn.XLOOKUP(A401,INPUT_DATA!$CJ$4:$CJ$397,INPUT_DATA!$CL$4:$CL$397)</f>
        <v>45495181.670000002</v>
      </c>
      <c r="D401" s="411">
        <f>Top20Deb37[[#This Row],[Principal Outstanding Balance]]/Top20Deb37[[#Totals],[Principal Outstanding Balance]]</f>
        <v>2.7175804198591526E-2</v>
      </c>
      <c r="E401" s="412">
        <f>_xlfn.XLOOKUP(A401,INPUT_DATA!$CJ$4:$CJ$397,INPUT_DATA!$CM$4:$CM$397)</f>
        <v>118</v>
      </c>
      <c r="F401" s="411">
        <f>Top20Deb37[[#This Row],[Nb of Loans]]/Top20Deb37[[#Totals],[Nb of Loans]]</f>
        <v>3.2696037683568858E-2</v>
      </c>
    </row>
    <row r="402" spans="1:8" x14ac:dyDescent="0.25">
      <c r="A402" s="414" t="s">
        <v>1141</v>
      </c>
      <c r="B402" s="409" t="s">
        <v>1363</v>
      </c>
      <c r="C402" s="410">
        <f>_xlfn.XLOOKUP(A402,INPUT_DATA!$CJ$4:$CJ$397,INPUT_DATA!$CL$4:$CL$397)</f>
        <v>39794162.43</v>
      </c>
      <c r="D402" s="411">
        <f>Top20Deb37[[#This Row],[Principal Outstanding Balance]]/Top20Deb37[[#Totals],[Principal Outstanding Balance]]</f>
        <v>2.3770393407566915E-2</v>
      </c>
      <c r="E402" s="412">
        <f>_xlfn.XLOOKUP(A402,INPUT_DATA!$CJ$4:$CJ$397,INPUT_DATA!$CM$4:$CM$397)</f>
        <v>93</v>
      </c>
      <c r="F402" s="411">
        <f>Top20Deb37[[#This Row],[Nb of Loans]]/Top20Deb37[[#Totals],[Nb of Loans]]</f>
        <v>2.5768911055694097E-2</v>
      </c>
    </row>
    <row r="403" spans="1:8" x14ac:dyDescent="0.25">
      <c r="A403" s="414" t="s">
        <v>1143</v>
      </c>
      <c r="B403" s="409" t="s">
        <v>1364</v>
      </c>
      <c r="C403" s="410">
        <f>_xlfn.XLOOKUP(A403,INPUT_DATA!$CJ$4:$CJ$397,INPUT_DATA!$CL$4:$CL$397)</f>
        <v>6332628</v>
      </c>
      <c r="D403" s="411">
        <f>Top20Deb37[[#This Row],[Principal Outstanding Balance]]/Top20Deb37[[#Totals],[Principal Outstanding Balance]]</f>
        <v>3.7826919746975977E-3</v>
      </c>
      <c r="E403" s="412">
        <f>_xlfn.XLOOKUP(A403,INPUT_DATA!$CJ$4:$CJ$397,INPUT_DATA!$CM$4:$CM$397)</f>
        <v>16</v>
      </c>
      <c r="F403" s="411">
        <f>Top20Deb37[[#This Row],[Nb of Loans]]/Top20Deb37[[#Totals],[Nb of Loans]]</f>
        <v>4.4333610418398452E-3</v>
      </c>
    </row>
    <row r="404" spans="1:8" x14ac:dyDescent="0.25">
      <c r="A404" s="414" t="s">
        <v>1145</v>
      </c>
      <c r="B404" s="409" t="s">
        <v>1365</v>
      </c>
      <c r="C404" s="410">
        <f>_xlfn.XLOOKUP(A404,INPUT_DATA!$CJ$4:$CJ$397,INPUT_DATA!$CL$4:$CL$397)</f>
        <v>3709000</v>
      </c>
      <c r="D404" s="411">
        <f>Top20Deb37[[#This Row],[Principal Outstanding Balance]]/Top20Deb37[[#Totals],[Principal Outstanding Balance]]</f>
        <v>2.215510611732347E-3</v>
      </c>
      <c r="E404" s="412">
        <f>_xlfn.XLOOKUP(A404,INPUT_DATA!$CJ$4:$CJ$397,INPUT_DATA!$CM$4:$CM$397)</f>
        <v>7</v>
      </c>
      <c r="F404" s="411">
        <f>Top20Deb37[[#This Row],[Nb of Loans]]/Top20Deb37[[#Totals],[Nb of Loans]]</f>
        <v>1.9395954558049321E-3</v>
      </c>
    </row>
    <row r="405" spans="1:8" x14ac:dyDescent="0.25">
      <c r="A405" s="414" t="s">
        <v>1147</v>
      </c>
      <c r="B405" s="409" t="s">
        <v>1366</v>
      </c>
      <c r="C405" s="410">
        <f>_xlfn.XLOOKUP(A405,INPUT_DATA!$CJ$4:$CJ$397,INPUT_DATA!$CL$4:$CL$397)</f>
        <v>3130000</v>
      </c>
      <c r="D405" s="411">
        <f>Top20Deb37[[#This Row],[Principal Outstanding Balance]]/Top20Deb37[[#Totals],[Principal Outstanding Balance]]</f>
        <v>1.8696544121656099E-3</v>
      </c>
      <c r="E405" s="412">
        <f>_xlfn.XLOOKUP(A405,INPUT_DATA!$CJ$4:$CJ$397,INPUT_DATA!$CM$4:$CM$397)</f>
        <v>9</v>
      </c>
      <c r="F405" s="411">
        <f>Top20Deb37[[#This Row],[Nb of Loans]]/Top20Deb37[[#Totals],[Nb of Loans]]</f>
        <v>2.4937655860349127E-3</v>
      </c>
    </row>
    <row r="406" spans="1:8" x14ac:dyDescent="0.25">
      <c r="A406" s="414" t="s">
        <v>500</v>
      </c>
      <c r="B406" s="409" t="s">
        <v>1367</v>
      </c>
      <c r="C406" s="410">
        <f>_xlfn.XLOOKUP(A406,INPUT_DATA!$CJ$4:$CJ$397,INPUT_DATA!$CL$4:$CL$397)</f>
        <v>0</v>
      </c>
      <c r="D406" s="411">
        <f>Top20Deb37[[#This Row],[Principal Outstanding Balance]]/Top20Deb37[[#Totals],[Principal Outstanding Balance]]</f>
        <v>0</v>
      </c>
      <c r="E406" s="412">
        <f>_xlfn.XLOOKUP(A406,INPUT_DATA!$CJ$4:$CJ$397,INPUT_DATA!$CM$4:$CM$397)</f>
        <v>0</v>
      </c>
      <c r="F406" s="411">
        <f>Top20Deb37[[#This Row],[Nb of Loans]]/Top20Deb37[[#Totals],[Nb of Loans]]</f>
        <v>0</v>
      </c>
    </row>
    <row r="407" spans="1:8" x14ac:dyDescent="0.25">
      <c r="A407" s="414" t="s">
        <v>501</v>
      </c>
      <c r="B407" s="409" t="s">
        <v>1368</v>
      </c>
      <c r="C407" s="410">
        <f>_xlfn.XLOOKUP(A407,INPUT_DATA!$CJ$4:$CJ$397,INPUT_DATA!$CL$4:$CL$397)</f>
        <v>0</v>
      </c>
      <c r="D407" s="411">
        <f>Top20Deb37[[#This Row],[Principal Outstanding Balance]]/Top20Deb37[[#Totals],[Principal Outstanding Balance]]</f>
        <v>0</v>
      </c>
      <c r="E407" s="412">
        <f>_xlfn.XLOOKUP(A407,INPUT_DATA!$CJ$4:$CJ$397,INPUT_DATA!$CM$4:$CM$397)</f>
        <v>0</v>
      </c>
      <c r="F407" s="411">
        <f>Top20Deb37[[#This Row],[Nb of Loans]]/Top20Deb37[[#Totals],[Nb of Loans]]</f>
        <v>0</v>
      </c>
    </row>
    <row r="408" spans="1:8" x14ac:dyDescent="0.25">
      <c r="A408" s="414" t="s">
        <v>502</v>
      </c>
      <c r="B408" s="409" t="s">
        <v>1369</v>
      </c>
      <c r="C408" s="410">
        <f>_xlfn.XLOOKUP(A408,INPUT_DATA!$CJ$4:$CJ$397,INPUT_DATA!$CL$4:$CL$397)</f>
        <v>0</v>
      </c>
      <c r="D408" s="411">
        <f>Top20Deb37[[#This Row],[Principal Outstanding Balance]]/Top20Deb37[[#Totals],[Principal Outstanding Balance]]</f>
        <v>0</v>
      </c>
      <c r="E408" s="412">
        <f>_xlfn.XLOOKUP(A408,INPUT_DATA!$CJ$4:$CJ$397,INPUT_DATA!$CM$4:$CM$397)</f>
        <v>0</v>
      </c>
      <c r="F408" s="411">
        <f>Top20Deb37[[#This Row],[Nb of Loans]]/Top20Deb37[[#Totals],[Nb of Loans]]</f>
        <v>0</v>
      </c>
    </row>
    <row r="409" spans="1:8" x14ac:dyDescent="0.25">
      <c r="A409" s="414" t="s">
        <v>1152</v>
      </c>
      <c r="B409" s="409" t="s">
        <v>1370</v>
      </c>
      <c r="C409" s="410">
        <f>_xlfn.XLOOKUP(A409,INPUT_DATA!$CJ$4:$CJ$397,INPUT_DATA!$CL$4:$CL$397)</f>
        <v>0</v>
      </c>
      <c r="D409" s="411">
        <f>Top20Deb37[[#This Row],[Principal Outstanding Balance]]/Top20Deb37[[#Totals],[Principal Outstanding Balance]]</f>
        <v>0</v>
      </c>
      <c r="E409" s="412">
        <f>_xlfn.XLOOKUP(A409,INPUT_DATA!$CJ$4:$CJ$397,INPUT_DATA!$CM$4:$CM$397)</f>
        <v>0</v>
      </c>
      <c r="F409" s="411">
        <f>Top20Deb37[[#This Row],[Nb of Loans]]/Top20Deb37[[#Totals],[Nb of Loans]]</f>
        <v>0</v>
      </c>
    </row>
    <row r="410" spans="1:8" x14ac:dyDescent="0.25">
      <c r="A410" s="414" t="s">
        <v>1154</v>
      </c>
      <c r="B410" s="409" t="s">
        <v>1371</v>
      </c>
      <c r="C410" s="410">
        <f>_xlfn.XLOOKUP(A410,INPUT_DATA!$CJ$4:$CJ$397,INPUT_DATA!$CL$4:$CL$397)</f>
        <v>0</v>
      </c>
      <c r="D410" s="411">
        <f>Top20Deb37[[#This Row],[Principal Outstanding Balance]]/Top20Deb37[[#Totals],[Principal Outstanding Balance]]</f>
        <v>0</v>
      </c>
      <c r="E410" s="412">
        <f>_xlfn.XLOOKUP(A410,INPUT_DATA!$CJ$4:$CJ$397,INPUT_DATA!$CM$4:$CM$397)</f>
        <v>0</v>
      </c>
      <c r="F410" s="411">
        <f>Top20Deb37[[#This Row],[Nb of Loans]]/Top20Deb37[[#Totals],[Nb of Loans]]</f>
        <v>0</v>
      </c>
    </row>
    <row r="411" spans="1:8" x14ac:dyDescent="0.25">
      <c r="A411" s="414" t="s">
        <v>1156</v>
      </c>
      <c r="B411" s="409" t="s">
        <v>1270</v>
      </c>
      <c r="C411" s="410">
        <f>_xlfn.XLOOKUP(A411,INPUT_DATA!$CJ$4:$CJ$397,INPUT_DATA!$CL$4:$CL$397)</f>
        <v>16984289</v>
      </c>
      <c r="D411" s="411">
        <f>Top20Deb37[[#This Row],[Principal Outstanding Balance]]/Top20Deb37[[#Totals],[Principal Outstanding Balance]]</f>
        <v>1.0145287816723908E-2</v>
      </c>
      <c r="E411" s="412">
        <f>_xlfn.XLOOKUP(A411,INPUT_DATA!$CJ$4:$CJ$397,INPUT_DATA!$CM$4:$CM$397)</f>
        <v>51</v>
      </c>
      <c r="F411" s="411">
        <f>Top20Deb37[[#This Row],[Nb of Loans]]/Top20Deb37[[#Totals],[Nb of Loans]]</f>
        <v>1.4131338320864505E-2</v>
      </c>
    </row>
    <row r="412" spans="1:8" x14ac:dyDescent="0.25">
      <c r="A412" s="414"/>
      <c r="B412" s="705" t="s">
        <v>2</v>
      </c>
      <c r="C412" s="792">
        <f>SUBTOTAL(109,Top20Deb37[Principal Outstanding Balance])</f>
        <v>1674106176.8600001</v>
      </c>
      <c r="D412" s="793">
        <f>SUBTOTAL(109,Top20Deb37[% of Total (Amount)])</f>
        <v>1</v>
      </c>
      <c r="E412" s="794">
        <f>SUBTOTAL(109,Top20Deb37[Nb of Loans])</f>
        <v>3609</v>
      </c>
      <c r="F412" s="793">
        <f>SUBTOTAL(109,Top20Deb37[% of Total (Number)])</f>
        <v>1</v>
      </c>
    </row>
    <row r="413" spans="1:8" x14ac:dyDescent="0.25">
      <c r="A413" s="414"/>
      <c r="B413" s="409"/>
      <c r="C413" s="410"/>
      <c r="D413" s="411"/>
      <c r="E413" s="412"/>
      <c r="F413" s="411"/>
      <c r="H413" s="474" t="s">
        <v>654</v>
      </c>
    </row>
    <row r="414" spans="1:8" x14ac:dyDescent="0.25">
      <c r="A414" s="414"/>
      <c r="B414" s="407" t="s">
        <v>1373</v>
      </c>
      <c r="C414" s="407"/>
    </row>
    <row r="415" spans="1:8" ht="15" customHeight="1" x14ac:dyDescent="0.25">
      <c r="A415" s="414"/>
      <c r="B415" s="407"/>
      <c r="C415" s="407"/>
    </row>
    <row r="416" spans="1:8" ht="33" customHeight="1" x14ac:dyDescent="0.25">
      <c r="A416" s="414"/>
      <c r="B416" s="397" t="s">
        <v>529</v>
      </c>
      <c r="C416" s="397" t="s">
        <v>257</v>
      </c>
      <c r="D416" s="397" t="s">
        <v>289</v>
      </c>
      <c r="E416" s="397" t="s">
        <v>290</v>
      </c>
      <c r="F416" s="397" t="s">
        <v>291</v>
      </c>
      <c r="G416" s="408"/>
    </row>
    <row r="417" spans="1:6" x14ac:dyDescent="0.25">
      <c r="A417" s="414" t="s">
        <v>504</v>
      </c>
      <c r="B417" s="409" t="s">
        <v>1271</v>
      </c>
      <c r="C417" s="410">
        <f>_xlfn.XLOOKUP(A417,INPUT_DATA!$CJ$4:$CJ$397,INPUT_DATA!$CL$4:$CL$397)</f>
        <v>124845800.77</v>
      </c>
      <c r="D417" s="411">
        <f>Top20Deb3738[[#This Row],[Principal Outstanding Balance]]/Top20Deb3738[[#Totals],[Principal Outstanding Balance]]</f>
        <v>0.32983438778372637</v>
      </c>
      <c r="E417" s="412">
        <f>_xlfn.XLOOKUP(A417,INPUT_DATA!$CJ$4:$CJ$397,INPUT_DATA!$CM$4:$CM$397)</f>
        <v>167</v>
      </c>
      <c r="F417" s="411">
        <f>Top20Deb3738[[#This Row],[Nb of Loans]]/Top20Deb3738[[#Totals],[Nb of Loans]]</f>
        <v>0.18870056497175142</v>
      </c>
    </row>
    <row r="418" spans="1:6" x14ac:dyDescent="0.25">
      <c r="A418" s="414" t="s">
        <v>506</v>
      </c>
      <c r="B418" s="409" t="s">
        <v>1272</v>
      </c>
      <c r="C418" s="410">
        <f>_xlfn.XLOOKUP(A418,INPUT_DATA!$CJ$4:$CJ$397,INPUT_DATA!$CL$4:$CL$397)</f>
        <v>7248256.0600000005</v>
      </c>
      <c r="D418" s="795">
        <f>Top20Deb3738[[#This Row],[Principal Outstanding Balance]]/Top20Deb3738[[#Totals],[Principal Outstanding Balance]]</f>
        <v>1.9149415401276897E-2</v>
      </c>
      <c r="E418" s="796">
        <f>_xlfn.XLOOKUP(A418,INPUT_DATA!$CJ$4:$CJ$397,INPUT_DATA!$CM$4:$CM$397)</f>
        <v>29</v>
      </c>
      <c r="F418" s="795">
        <f>Top20Deb3738[[#This Row],[Nb of Loans]]/Top20Deb3738[[#Totals],[Nb of Loans]]</f>
        <v>3.2768361581920903E-2</v>
      </c>
    </row>
    <row r="419" spans="1:6" x14ac:dyDescent="0.25">
      <c r="A419" s="414" t="s">
        <v>508</v>
      </c>
      <c r="B419" s="409" t="s">
        <v>1273</v>
      </c>
      <c r="C419" s="410">
        <f>_xlfn.XLOOKUP(A419,INPUT_DATA!$CJ$4:$CJ$397,INPUT_DATA!$CL$4:$CL$397)</f>
        <v>23998742.760000002</v>
      </c>
      <c r="D419" s="795">
        <f>Top20Deb3738[[#This Row],[Principal Outstanding Balance]]/Top20Deb3738[[#Totals],[Principal Outstanding Balance]]</f>
        <v>6.3403098678556674E-2</v>
      </c>
      <c r="E419" s="796">
        <f>_xlfn.XLOOKUP(A419,INPUT_DATA!$CJ$4:$CJ$397,INPUT_DATA!$CM$4:$CM$397)</f>
        <v>41</v>
      </c>
      <c r="F419" s="795">
        <f>Top20Deb3738[[#This Row],[Nb of Loans]]/Top20Deb3738[[#Totals],[Nb of Loans]]</f>
        <v>4.632768361581921E-2</v>
      </c>
    </row>
    <row r="420" spans="1:6" x14ac:dyDescent="0.25">
      <c r="A420" s="414" t="s">
        <v>510</v>
      </c>
      <c r="B420" s="409" t="s">
        <v>1274</v>
      </c>
      <c r="C420" s="410">
        <f>_xlfn.XLOOKUP(A420,INPUT_DATA!$CJ$4:$CJ$397,INPUT_DATA!$CL$4:$CL$397)</f>
        <v>6492123</v>
      </c>
      <c r="D420" s="795">
        <f>Top20Deb3738[[#This Row],[Principal Outstanding Balance]]/Top20Deb3738[[#Totals],[Principal Outstanding Balance]]</f>
        <v>1.7151761628463214E-2</v>
      </c>
      <c r="E420" s="796">
        <f>_xlfn.XLOOKUP(A420,INPUT_DATA!$CJ$4:$CJ$397,INPUT_DATA!$CM$4:$CM$397)</f>
        <v>18</v>
      </c>
      <c r="F420" s="795">
        <f>Top20Deb3738[[#This Row],[Nb of Loans]]/Top20Deb3738[[#Totals],[Nb of Loans]]</f>
        <v>2.0338983050847456E-2</v>
      </c>
    </row>
    <row r="421" spans="1:6" x14ac:dyDescent="0.25">
      <c r="A421" s="414" t="s">
        <v>512</v>
      </c>
      <c r="B421" s="409" t="s">
        <v>1275</v>
      </c>
      <c r="C421" s="410">
        <f>_xlfn.XLOOKUP(A421,INPUT_DATA!$CJ$4:$CJ$397,INPUT_DATA!$CL$4:$CL$397)</f>
        <v>34762412.789999999</v>
      </c>
      <c r="D421" s="795">
        <f>Top20Deb3738[[#This Row],[Principal Outstanding Balance]]/Top20Deb3738[[#Totals],[Principal Outstanding Balance]]</f>
        <v>9.1840006389946841E-2</v>
      </c>
      <c r="E421" s="796">
        <f>_xlfn.XLOOKUP(A421,INPUT_DATA!$CJ$4:$CJ$397,INPUT_DATA!$CM$4:$CM$397)</f>
        <v>70</v>
      </c>
      <c r="F421" s="795">
        <f>Top20Deb3738[[#This Row],[Nb of Loans]]/Top20Deb3738[[#Totals],[Nb of Loans]]</f>
        <v>7.909604519774012E-2</v>
      </c>
    </row>
    <row r="422" spans="1:6" x14ac:dyDescent="0.25">
      <c r="A422" s="414" t="s">
        <v>514</v>
      </c>
      <c r="B422" s="409" t="s">
        <v>1276</v>
      </c>
      <c r="C422" s="410">
        <f>_xlfn.XLOOKUP(A422,INPUT_DATA!$CJ$4:$CJ$397,INPUT_DATA!$CL$4:$CL$397)</f>
        <v>20300480.059999999</v>
      </c>
      <c r="D422" s="795">
        <f>Top20Deb3738[[#This Row],[Principal Outstanding Balance]]/Top20Deb3738[[#Totals],[Principal Outstanding Balance]]</f>
        <v>5.3632532059619112E-2</v>
      </c>
      <c r="E422" s="796">
        <f>_xlfn.XLOOKUP(A422,INPUT_DATA!$CJ$4:$CJ$397,INPUT_DATA!$CM$4:$CM$397)</f>
        <v>86</v>
      </c>
      <c r="F422" s="795">
        <f>Top20Deb3738[[#This Row],[Nb of Loans]]/Top20Deb3738[[#Totals],[Nb of Loans]]</f>
        <v>9.7175141242937857E-2</v>
      </c>
    </row>
    <row r="423" spans="1:6" x14ac:dyDescent="0.25">
      <c r="A423" s="414" t="s">
        <v>516</v>
      </c>
      <c r="B423" s="409" t="s">
        <v>1277</v>
      </c>
      <c r="C423" s="410">
        <f>_xlfn.XLOOKUP(A423,INPUT_DATA!$CJ$4:$CJ$397,INPUT_DATA!$CL$4:$CL$397)</f>
        <v>20007420</v>
      </c>
      <c r="D423" s="795">
        <f>Top20Deb3738[[#This Row],[Principal Outstanding Balance]]/Top20Deb3738[[#Totals],[Principal Outstanding Balance]]</f>
        <v>5.2858286671485968E-2</v>
      </c>
      <c r="E423" s="796">
        <f>_xlfn.XLOOKUP(A423,INPUT_DATA!$CJ$4:$CJ$397,INPUT_DATA!$CM$4:$CM$397)</f>
        <v>47</v>
      </c>
      <c r="F423" s="795">
        <f>Top20Deb3738[[#This Row],[Nb of Loans]]/Top20Deb3738[[#Totals],[Nb of Loans]]</f>
        <v>5.3107344632768359E-2</v>
      </c>
    </row>
    <row r="424" spans="1:6" x14ac:dyDescent="0.25">
      <c r="A424" s="414" t="s">
        <v>518</v>
      </c>
      <c r="B424" s="409" t="s">
        <v>1278</v>
      </c>
      <c r="C424" s="410">
        <f>_xlfn.XLOOKUP(A424,INPUT_DATA!$CJ$4:$CJ$397,INPUT_DATA!$CL$4:$CL$397)</f>
        <v>9989239.1099999994</v>
      </c>
      <c r="D424" s="795">
        <f>Top20Deb3738[[#This Row],[Principal Outstanding Balance]]/Top20Deb3738[[#Totals],[Principal Outstanding Balance]]</f>
        <v>2.6390912196894916E-2</v>
      </c>
      <c r="E424" s="796">
        <f>_xlfn.XLOOKUP(A424,INPUT_DATA!$CJ$4:$CJ$397,INPUT_DATA!$CM$4:$CM$397)</f>
        <v>42</v>
      </c>
      <c r="F424" s="795">
        <f>Top20Deb3738[[#This Row],[Nb of Loans]]/Top20Deb3738[[#Totals],[Nb of Loans]]</f>
        <v>4.7457627118644069E-2</v>
      </c>
    </row>
    <row r="425" spans="1:6" x14ac:dyDescent="0.25">
      <c r="A425" s="414" t="s">
        <v>520</v>
      </c>
      <c r="B425" s="409" t="s">
        <v>1279</v>
      </c>
      <c r="C425" s="410">
        <f>_xlfn.XLOOKUP(A425,INPUT_DATA!$CJ$4:$CJ$397,INPUT_DATA!$CL$4:$CL$397)</f>
        <v>0</v>
      </c>
      <c r="D425" s="795">
        <f>Top20Deb3738[[#This Row],[Principal Outstanding Balance]]/Top20Deb3738[[#Totals],[Principal Outstanding Balance]]</f>
        <v>0</v>
      </c>
      <c r="E425" s="796">
        <f>_xlfn.XLOOKUP(A425,INPUT_DATA!$CJ$4:$CJ$397,INPUT_DATA!$CM$4:$CM$397)</f>
        <v>0</v>
      </c>
      <c r="F425" s="795">
        <f>Top20Deb3738[[#This Row],[Nb of Loans]]/Top20Deb3738[[#Totals],[Nb of Loans]]</f>
        <v>0</v>
      </c>
    </row>
    <row r="426" spans="1:6" x14ac:dyDescent="0.25">
      <c r="A426" s="414" t="s">
        <v>1158</v>
      </c>
      <c r="B426" s="409" t="s">
        <v>1280</v>
      </c>
      <c r="C426" s="410">
        <f>_xlfn.XLOOKUP(A426,INPUT_DATA!$CJ$4:$CJ$397,INPUT_DATA!$CL$4:$CL$397)</f>
        <v>708000</v>
      </c>
      <c r="D426" s="795">
        <f>Top20Deb3738[[#This Row],[Principal Outstanding Balance]]/Top20Deb3738[[#Totals],[Principal Outstanding Balance]]</f>
        <v>1.8704893966044629E-3</v>
      </c>
      <c r="E426" s="796">
        <f>_xlfn.XLOOKUP(A426,INPUT_DATA!$CJ$4:$CJ$397,INPUT_DATA!$CM$4:$CM$397)</f>
        <v>3</v>
      </c>
      <c r="F426" s="795">
        <f>Top20Deb3738[[#This Row],[Nb of Loans]]/Top20Deb3738[[#Totals],[Nb of Loans]]</f>
        <v>3.3898305084745762E-3</v>
      </c>
    </row>
    <row r="427" spans="1:6" x14ac:dyDescent="0.25">
      <c r="A427" s="414" t="s">
        <v>1159</v>
      </c>
      <c r="B427" s="409" t="s">
        <v>1281</v>
      </c>
      <c r="C427" s="410">
        <f>_xlfn.XLOOKUP(A427,INPUT_DATA!$CJ$4:$CJ$397,INPUT_DATA!$CL$4:$CL$397)</f>
        <v>0</v>
      </c>
      <c r="D427" s="795">
        <f>Top20Deb3738[[#This Row],[Principal Outstanding Balance]]/Top20Deb3738[[#Totals],[Principal Outstanding Balance]]</f>
        <v>0</v>
      </c>
      <c r="E427" s="796">
        <f>_xlfn.XLOOKUP(A427,INPUT_DATA!$CJ$4:$CJ$397,INPUT_DATA!$CM$4:$CM$397)</f>
        <v>0</v>
      </c>
      <c r="F427" s="795">
        <f>Top20Deb3738[[#This Row],[Nb of Loans]]/Top20Deb3738[[#Totals],[Nb of Loans]]</f>
        <v>0</v>
      </c>
    </row>
    <row r="428" spans="1:6" x14ac:dyDescent="0.25">
      <c r="A428" s="414" t="s">
        <v>1160</v>
      </c>
      <c r="B428" s="409" t="s">
        <v>1282</v>
      </c>
      <c r="C428" s="410">
        <f>_xlfn.XLOOKUP(A428,INPUT_DATA!$CJ$4:$CJ$397,INPUT_DATA!$CL$4:$CL$397)</f>
        <v>594860</v>
      </c>
      <c r="D428" s="795">
        <f>Top20Deb3738[[#This Row],[Principal Outstanding Balance]]/Top20Deb3738[[#Totals],[Principal Outstanding Balance]]</f>
        <v>1.5715809639323883E-3</v>
      </c>
      <c r="E428" s="796">
        <f>_xlfn.XLOOKUP(A428,INPUT_DATA!$CJ$4:$CJ$397,INPUT_DATA!$CM$4:$CM$397)</f>
        <v>4</v>
      </c>
      <c r="F428" s="795">
        <f>Top20Deb3738[[#This Row],[Nb of Loans]]/Top20Deb3738[[#Totals],[Nb of Loans]]</f>
        <v>4.5197740112994352E-3</v>
      </c>
    </row>
    <row r="429" spans="1:6" x14ac:dyDescent="0.25">
      <c r="A429" s="414" t="s">
        <v>1161</v>
      </c>
      <c r="B429" s="409" t="s">
        <v>1283</v>
      </c>
      <c r="C429" s="410">
        <f>_xlfn.XLOOKUP(A429,INPUT_DATA!$CJ$4:$CJ$397,INPUT_DATA!$CL$4:$CL$397)</f>
        <v>111000</v>
      </c>
      <c r="D429" s="795">
        <f>Top20Deb3738[[#This Row],[Principal Outstanding Balance]]/Top20Deb3738[[#Totals],[Principal Outstanding Balance]]</f>
        <v>2.9325469353544544E-4</v>
      </c>
      <c r="E429" s="796">
        <f>_xlfn.XLOOKUP(A429,INPUT_DATA!$CJ$4:$CJ$397,INPUT_DATA!$CM$4:$CM$397)</f>
        <v>1</v>
      </c>
      <c r="F429" s="795">
        <f>Top20Deb3738[[#This Row],[Nb of Loans]]/Top20Deb3738[[#Totals],[Nb of Loans]]</f>
        <v>1.1299435028248588E-3</v>
      </c>
    </row>
    <row r="430" spans="1:6" x14ac:dyDescent="0.25">
      <c r="A430" s="414" t="s">
        <v>1162</v>
      </c>
      <c r="B430" s="409" t="s">
        <v>1284</v>
      </c>
      <c r="C430" s="410">
        <f>_xlfn.XLOOKUP(A430,INPUT_DATA!$CJ$4:$CJ$397,INPUT_DATA!$CL$4:$CL$397)</f>
        <v>1096200</v>
      </c>
      <c r="D430" s="795">
        <f>Top20Deb3738[[#This Row],[Principal Outstanding Balance]]/Top20Deb3738[[#Totals],[Principal Outstanding Balance]]</f>
        <v>2.8960882437257234E-3</v>
      </c>
      <c r="E430" s="796">
        <f>_xlfn.XLOOKUP(A430,INPUT_DATA!$CJ$4:$CJ$397,INPUT_DATA!$CM$4:$CM$397)</f>
        <v>4</v>
      </c>
      <c r="F430" s="795">
        <f>Top20Deb3738[[#This Row],[Nb of Loans]]/Top20Deb3738[[#Totals],[Nb of Loans]]</f>
        <v>4.5197740112994352E-3</v>
      </c>
    </row>
    <row r="431" spans="1:6" x14ac:dyDescent="0.25">
      <c r="A431" s="414" t="s">
        <v>1163</v>
      </c>
      <c r="B431" s="409" t="s">
        <v>1285</v>
      </c>
      <c r="C431" s="410">
        <f>_xlfn.XLOOKUP(A431,INPUT_DATA!$CJ$4:$CJ$397,INPUT_DATA!$CL$4:$CL$397)</f>
        <v>0</v>
      </c>
      <c r="D431" s="795">
        <f>Top20Deb3738[[#This Row],[Principal Outstanding Balance]]/Top20Deb3738[[#Totals],[Principal Outstanding Balance]]</f>
        <v>0</v>
      </c>
      <c r="E431" s="796">
        <f>_xlfn.XLOOKUP(A431,INPUT_DATA!$CJ$4:$CJ$397,INPUT_DATA!$CM$4:$CM$397)</f>
        <v>0</v>
      </c>
      <c r="F431" s="795">
        <f>Top20Deb3738[[#This Row],[Nb of Loans]]/Top20Deb3738[[#Totals],[Nb of Loans]]</f>
        <v>0</v>
      </c>
    </row>
    <row r="432" spans="1:6" x14ac:dyDescent="0.25">
      <c r="A432" s="414" t="s">
        <v>1164</v>
      </c>
      <c r="B432" s="409" t="s">
        <v>1286</v>
      </c>
      <c r="C432" s="410">
        <f>_xlfn.XLOOKUP(A432,INPUT_DATA!$CJ$4:$CJ$397,INPUT_DATA!$CL$4:$CL$397)</f>
        <v>0</v>
      </c>
      <c r="D432" s="795">
        <f>Top20Deb3738[[#This Row],[Principal Outstanding Balance]]/Top20Deb3738[[#Totals],[Principal Outstanding Balance]]</f>
        <v>0</v>
      </c>
      <c r="E432" s="796">
        <f>_xlfn.XLOOKUP(A432,INPUT_DATA!$CJ$4:$CJ$397,INPUT_DATA!$CM$4:$CM$397)</f>
        <v>0</v>
      </c>
      <c r="F432" s="795">
        <f>Top20Deb3738[[#This Row],[Nb of Loans]]/Top20Deb3738[[#Totals],[Nb of Loans]]</f>
        <v>0</v>
      </c>
    </row>
    <row r="433" spans="1:6" x14ac:dyDescent="0.25">
      <c r="A433" s="414" t="s">
        <v>1165</v>
      </c>
      <c r="B433" s="409" t="s">
        <v>1287</v>
      </c>
      <c r="C433" s="410">
        <f>_xlfn.XLOOKUP(A433,INPUT_DATA!$CJ$4:$CJ$397,INPUT_DATA!$CL$4:$CL$397)</f>
        <v>0</v>
      </c>
      <c r="D433" s="795">
        <f>Top20Deb3738[[#This Row],[Principal Outstanding Balance]]/Top20Deb3738[[#Totals],[Principal Outstanding Balance]]</f>
        <v>0</v>
      </c>
      <c r="E433" s="796">
        <f>_xlfn.XLOOKUP(A433,INPUT_DATA!$CJ$4:$CJ$397,INPUT_DATA!$CM$4:$CM$397)</f>
        <v>0</v>
      </c>
      <c r="F433" s="795">
        <f>Top20Deb3738[[#This Row],[Nb of Loans]]/Top20Deb3738[[#Totals],[Nb of Loans]]</f>
        <v>0</v>
      </c>
    </row>
    <row r="434" spans="1:6" x14ac:dyDescent="0.25">
      <c r="A434" s="414" t="s">
        <v>1166</v>
      </c>
      <c r="B434" s="409" t="s">
        <v>1288</v>
      </c>
      <c r="C434" s="410">
        <f>_xlfn.XLOOKUP(A434,INPUT_DATA!$CJ$4:$CJ$397,INPUT_DATA!$CL$4:$CL$397)</f>
        <v>0</v>
      </c>
      <c r="D434" s="795">
        <f>Top20Deb3738[[#This Row],[Principal Outstanding Balance]]/Top20Deb3738[[#Totals],[Principal Outstanding Balance]]</f>
        <v>0</v>
      </c>
      <c r="E434" s="796">
        <f>_xlfn.XLOOKUP(A434,INPUT_DATA!$CJ$4:$CJ$397,INPUT_DATA!$CM$4:$CM$397)</f>
        <v>0</v>
      </c>
      <c r="F434" s="795">
        <f>Top20Deb3738[[#This Row],[Nb of Loans]]/Top20Deb3738[[#Totals],[Nb of Loans]]</f>
        <v>0</v>
      </c>
    </row>
    <row r="435" spans="1:6" x14ac:dyDescent="0.25">
      <c r="A435" s="414" t="s">
        <v>1167</v>
      </c>
      <c r="B435" s="409" t="s">
        <v>1289</v>
      </c>
      <c r="C435" s="410">
        <f>_xlfn.XLOOKUP(A435,INPUT_DATA!$CJ$4:$CJ$397,INPUT_DATA!$CL$4:$CL$397)</f>
        <v>750000</v>
      </c>
      <c r="D435" s="795">
        <f>Top20Deb3738[[#This Row],[Principal Outstanding Balance]]/Top20Deb3738[[#Totals],[Principal Outstanding Balance]]</f>
        <v>1.9814506319962531E-3</v>
      </c>
      <c r="E435" s="796">
        <f>_xlfn.XLOOKUP(A435,INPUT_DATA!$CJ$4:$CJ$397,INPUT_DATA!$CM$4:$CM$397)</f>
        <v>1</v>
      </c>
      <c r="F435" s="795">
        <f>Top20Deb3738[[#This Row],[Nb of Loans]]/Top20Deb3738[[#Totals],[Nb of Loans]]</f>
        <v>1.1299435028248588E-3</v>
      </c>
    </row>
    <row r="436" spans="1:6" x14ac:dyDescent="0.25">
      <c r="A436" s="414" t="s">
        <v>1168</v>
      </c>
      <c r="B436" s="409" t="s">
        <v>1290</v>
      </c>
      <c r="C436" s="410">
        <f>_xlfn.XLOOKUP(A436,INPUT_DATA!$CJ$4:$CJ$397,INPUT_DATA!$CL$4:$CL$397)</f>
        <v>0</v>
      </c>
      <c r="D436" s="795">
        <f>Top20Deb3738[[#This Row],[Principal Outstanding Balance]]/Top20Deb3738[[#Totals],[Principal Outstanding Balance]]</f>
        <v>0</v>
      </c>
      <c r="E436" s="796">
        <f>_xlfn.XLOOKUP(A436,INPUT_DATA!$CJ$4:$CJ$397,INPUT_DATA!$CM$4:$CM$397)</f>
        <v>0</v>
      </c>
      <c r="F436" s="795">
        <f>Top20Deb3738[[#This Row],[Nb of Loans]]/Top20Deb3738[[#Totals],[Nb of Loans]]</f>
        <v>0</v>
      </c>
    </row>
    <row r="437" spans="1:6" x14ac:dyDescent="0.25">
      <c r="A437" s="414" t="s">
        <v>1169</v>
      </c>
      <c r="B437" s="409" t="s">
        <v>1291</v>
      </c>
      <c r="C437" s="410">
        <f>_xlfn.XLOOKUP(A437,INPUT_DATA!$CJ$4:$CJ$397,INPUT_DATA!$CL$4:$CL$397)</f>
        <v>0</v>
      </c>
      <c r="D437" s="795">
        <f>Top20Deb3738[[#This Row],[Principal Outstanding Balance]]/Top20Deb3738[[#Totals],[Principal Outstanding Balance]]</f>
        <v>0</v>
      </c>
      <c r="E437" s="796">
        <f>_xlfn.XLOOKUP(A437,INPUT_DATA!$CJ$4:$CJ$397,INPUT_DATA!$CM$4:$CM$397)</f>
        <v>0</v>
      </c>
      <c r="F437" s="795">
        <f>Top20Deb3738[[#This Row],[Nb of Loans]]/Top20Deb3738[[#Totals],[Nb of Loans]]</f>
        <v>0</v>
      </c>
    </row>
    <row r="438" spans="1:6" x14ac:dyDescent="0.25">
      <c r="A438" s="414" t="s">
        <v>1170</v>
      </c>
      <c r="B438" s="409" t="s">
        <v>1292</v>
      </c>
      <c r="C438" s="410">
        <f>_xlfn.XLOOKUP(A438,INPUT_DATA!$CJ$4:$CJ$397,INPUT_DATA!$CL$4:$CL$397)</f>
        <v>0</v>
      </c>
      <c r="D438" s="795">
        <f>Top20Deb3738[[#This Row],[Principal Outstanding Balance]]/Top20Deb3738[[#Totals],[Principal Outstanding Balance]]</f>
        <v>0</v>
      </c>
      <c r="E438" s="796">
        <f>_xlfn.XLOOKUP(A438,INPUT_DATA!$CJ$4:$CJ$397,INPUT_DATA!$CM$4:$CM$397)</f>
        <v>0</v>
      </c>
      <c r="F438" s="795">
        <f>Top20Deb3738[[#This Row],[Nb of Loans]]/Top20Deb3738[[#Totals],[Nb of Loans]]</f>
        <v>0</v>
      </c>
    </row>
    <row r="439" spans="1:6" x14ac:dyDescent="0.25">
      <c r="A439" s="414" t="s">
        <v>1171</v>
      </c>
      <c r="B439" s="409" t="s">
        <v>1293</v>
      </c>
      <c r="C439" s="410">
        <f>_xlfn.XLOOKUP(A439,INPUT_DATA!$CJ$4:$CJ$397,INPUT_DATA!$CL$4:$CL$397)</f>
        <v>4395670</v>
      </c>
      <c r="D439" s="795">
        <f>Top20Deb3738[[#This Row],[Principal Outstanding Balance]]/Top20Deb3738[[#Totals],[Principal Outstanding Balance]]</f>
        <v>1.1613070799395961E-2</v>
      </c>
      <c r="E439" s="796">
        <f>_xlfn.XLOOKUP(A439,INPUT_DATA!$CJ$4:$CJ$397,INPUT_DATA!$CM$4:$CM$397)</f>
        <v>9</v>
      </c>
      <c r="F439" s="795">
        <f>Top20Deb3738[[#This Row],[Nb of Loans]]/Top20Deb3738[[#Totals],[Nb of Loans]]</f>
        <v>1.0169491525423728E-2</v>
      </c>
    </row>
    <row r="440" spans="1:6" x14ac:dyDescent="0.25">
      <c r="A440" s="414" t="s">
        <v>1172</v>
      </c>
      <c r="B440" s="409" t="s">
        <v>1294</v>
      </c>
      <c r="C440" s="410">
        <f>_xlfn.XLOOKUP(A440,INPUT_DATA!$CJ$4:$CJ$397,INPUT_DATA!$CL$4:$CL$397)</f>
        <v>0</v>
      </c>
      <c r="D440" s="795">
        <f>Top20Deb3738[[#This Row],[Principal Outstanding Balance]]/Top20Deb3738[[#Totals],[Principal Outstanding Balance]]</f>
        <v>0</v>
      </c>
      <c r="E440" s="796">
        <f>_xlfn.XLOOKUP(A440,INPUT_DATA!$CJ$4:$CJ$397,INPUT_DATA!$CM$4:$CM$397)</f>
        <v>0</v>
      </c>
      <c r="F440" s="795">
        <f>Top20Deb3738[[#This Row],[Nb of Loans]]/Top20Deb3738[[#Totals],[Nb of Loans]]</f>
        <v>0</v>
      </c>
    </row>
    <row r="441" spans="1:6" x14ac:dyDescent="0.25">
      <c r="A441" s="414" t="s">
        <v>1173</v>
      </c>
      <c r="B441" s="409" t="s">
        <v>1295</v>
      </c>
      <c r="C441" s="410">
        <f>_xlfn.XLOOKUP(A441,INPUT_DATA!$CJ$4:$CJ$397,INPUT_DATA!$CL$4:$CL$397)</f>
        <v>0</v>
      </c>
      <c r="D441" s="795">
        <f>Top20Deb3738[[#This Row],[Principal Outstanding Balance]]/Top20Deb3738[[#Totals],[Principal Outstanding Balance]]</f>
        <v>0</v>
      </c>
      <c r="E441" s="796">
        <f>_xlfn.XLOOKUP(A441,INPUT_DATA!$CJ$4:$CJ$397,INPUT_DATA!$CM$4:$CM$397)</f>
        <v>0</v>
      </c>
      <c r="F441" s="795">
        <f>Top20Deb3738[[#This Row],[Nb of Loans]]/Top20Deb3738[[#Totals],[Nb of Loans]]</f>
        <v>0</v>
      </c>
    </row>
    <row r="442" spans="1:6" x14ac:dyDescent="0.25">
      <c r="A442" s="414" t="s">
        <v>1174</v>
      </c>
      <c r="B442" s="409" t="s">
        <v>1296</v>
      </c>
      <c r="C442" s="410">
        <f>_xlfn.XLOOKUP(A442,INPUT_DATA!$CJ$4:$CJ$397,INPUT_DATA!$CL$4:$CL$397)</f>
        <v>1247466</v>
      </c>
      <c r="D442" s="795">
        <f>Top20Deb3738[[#This Row],[Principal Outstanding Balance]]/Top20Deb3738[[#Totals],[Principal Outstanding Balance]]</f>
        <v>3.2957230587917839E-3</v>
      </c>
      <c r="E442" s="796">
        <f>_xlfn.XLOOKUP(A442,INPUT_DATA!$CJ$4:$CJ$397,INPUT_DATA!$CM$4:$CM$397)</f>
        <v>5</v>
      </c>
      <c r="F442" s="795">
        <f>Top20Deb3738[[#This Row],[Nb of Loans]]/Top20Deb3738[[#Totals],[Nb of Loans]]</f>
        <v>5.6497175141242938E-3</v>
      </c>
    </row>
    <row r="443" spans="1:6" x14ac:dyDescent="0.25">
      <c r="A443" s="414" t="s">
        <v>1175</v>
      </c>
      <c r="B443" s="409" t="s">
        <v>1297</v>
      </c>
      <c r="C443" s="410">
        <f>_xlfn.XLOOKUP(A443,INPUT_DATA!$CJ$4:$CJ$397,INPUT_DATA!$CL$4:$CL$397)</f>
        <v>1925790</v>
      </c>
      <c r="D443" s="795">
        <f>Top20Deb3738[[#This Row],[Principal Outstanding Balance]]/Top20Deb3738[[#Totals],[Principal Outstanding Balance]]</f>
        <v>5.0878104167894189E-3</v>
      </c>
      <c r="E443" s="796">
        <f>_xlfn.XLOOKUP(A443,INPUT_DATA!$CJ$4:$CJ$397,INPUT_DATA!$CM$4:$CM$397)</f>
        <v>6</v>
      </c>
      <c r="F443" s="795">
        <f>Top20Deb3738[[#This Row],[Nb of Loans]]/Top20Deb3738[[#Totals],[Nb of Loans]]</f>
        <v>6.7796610169491523E-3</v>
      </c>
    </row>
    <row r="444" spans="1:6" x14ac:dyDescent="0.25">
      <c r="A444" s="414" t="s">
        <v>1176</v>
      </c>
      <c r="B444" s="409" t="s">
        <v>1298</v>
      </c>
      <c r="C444" s="410">
        <f>_xlfn.XLOOKUP(A444,INPUT_DATA!$CJ$4:$CJ$397,INPUT_DATA!$CL$4:$CL$397)</f>
        <v>2947299</v>
      </c>
      <c r="D444" s="795">
        <f>Top20Deb3738[[#This Row],[Principal Outstanding Balance]]/Top20Deb3738[[#Totals],[Principal Outstanding Balance]]</f>
        <v>7.7865699549758997E-3</v>
      </c>
      <c r="E444" s="796">
        <f>_xlfn.XLOOKUP(A444,INPUT_DATA!$CJ$4:$CJ$397,INPUT_DATA!$CM$4:$CM$397)</f>
        <v>11</v>
      </c>
      <c r="F444" s="795">
        <f>Top20Deb3738[[#This Row],[Nb of Loans]]/Top20Deb3738[[#Totals],[Nb of Loans]]</f>
        <v>1.2429378531073447E-2</v>
      </c>
    </row>
    <row r="445" spans="1:6" x14ac:dyDescent="0.25">
      <c r="A445" s="414" t="s">
        <v>1177</v>
      </c>
      <c r="B445" s="409" t="s">
        <v>1299</v>
      </c>
      <c r="C445" s="410">
        <f>_xlfn.XLOOKUP(A445,INPUT_DATA!$CJ$4:$CJ$397,INPUT_DATA!$CL$4:$CL$397)</f>
        <v>503000</v>
      </c>
      <c r="D445" s="795">
        <f>Top20Deb3738[[#This Row],[Principal Outstanding Balance]]/Top20Deb3738[[#Totals],[Principal Outstanding Balance]]</f>
        <v>1.328892890525487E-3</v>
      </c>
      <c r="E445" s="796">
        <f>_xlfn.XLOOKUP(A445,INPUT_DATA!$CJ$4:$CJ$397,INPUT_DATA!$CM$4:$CM$397)</f>
        <v>3</v>
      </c>
      <c r="F445" s="795">
        <f>Top20Deb3738[[#This Row],[Nb of Loans]]/Top20Deb3738[[#Totals],[Nb of Loans]]</f>
        <v>3.3898305084745762E-3</v>
      </c>
    </row>
    <row r="446" spans="1:6" x14ac:dyDescent="0.25">
      <c r="A446" s="414" t="s">
        <v>1178</v>
      </c>
      <c r="B446" s="409" t="s">
        <v>1300</v>
      </c>
      <c r="C446" s="410">
        <f>_xlfn.XLOOKUP(A446,INPUT_DATA!$CJ$4:$CJ$397,INPUT_DATA!$CL$4:$CL$397)</f>
        <v>355000</v>
      </c>
      <c r="D446" s="795">
        <f>Top20Deb3738[[#This Row],[Principal Outstanding Balance]]/Top20Deb3738[[#Totals],[Principal Outstanding Balance]]</f>
        <v>9.3788663247822645E-4</v>
      </c>
      <c r="E446" s="796">
        <f>_xlfn.XLOOKUP(A446,INPUT_DATA!$CJ$4:$CJ$397,INPUT_DATA!$CM$4:$CM$397)</f>
        <v>1</v>
      </c>
      <c r="F446" s="795">
        <f>Top20Deb3738[[#This Row],[Nb of Loans]]/Top20Deb3738[[#Totals],[Nb of Loans]]</f>
        <v>1.1299435028248588E-3</v>
      </c>
    </row>
    <row r="447" spans="1:6" x14ac:dyDescent="0.25">
      <c r="A447" s="414" t="s">
        <v>1179</v>
      </c>
      <c r="B447" s="409" t="s">
        <v>1301</v>
      </c>
      <c r="C447" s="410">
        <f>_xlfn.XLOOKUP(A447,INPUT_DATA!$CJ$4:$CJ$397,INPUT_DATA!$CL$4:$CL$397)</f>
        <v>1754283</v>
      </c>
      <c r="D447" s="795">
        <f>Top20Deb3738[[#This Row],[Principal Outstanding Balance]]/Top20Deb3738[[#Totals],[Principal Outstanding Balance]]</f>
        <v>4.6347002120670439E-3</v>
      </c>
      <c r="E447" s="796">
        <f>_xlfn.XLOOKUP(A447,INPUT_DATA!$CJ$4:$CJ$397,INPUT_DATA!$CM$4:$CM$397)</f>
        <v>7</v>
      </c>
      <c r="F447" s="795">
        <f>Top20Deb3738[[#This Row],[Nb of Loans]]/Top20Deb3738[[#Totals],[Nb of Loans]]</f>
        <v>7.9096045197740109E-3</v>
      </c>
    </row>
    <row r="448" spans="1:6" x14ac:dyDescent="0.25">
      <c r="A448" s="414" t="s">
        <v>1180</v>
      </c>
      <c r="B448" s="409" t="s">
        <v>1302</v>
      </c>
      <c r="C448" s="410">
        <f>_xlfn.XLOOKUP(A448,INPUT_DATA!$CJ$4:$CJ$397,INPUT_DATA!$CL$4:$CL$397)</f>
        <v>110000</v>
      </c>
      <c r="D448" s="795">
        <f>Top20Deb3738[[#This Row],[Principal Outstanding Balance]]/Top20Deb3738[[#Totals],[Principal Outstanding Balance]]</f>
        <v>2.9061275935945047E-4</v>
      </c>
      <c r="E448" s="796">
        <f>_xlfn.XLOOKUP(A448,INPUT_DATA!$CJ$4:$CJ$397,INPUT_DATA!$CM$4:$CM$397)</f>
        <v>1</v>
      </c>
      <c r="F448" s="795">
        <f>Top20Deb3738[[#This Row],[Nb of Loans]]/Top20Deb3738[[#Totals],[Nb of Loans]]</f>
        <v>1.1299435028248588E-3</v>
      </c>
    </row>
    <row r="449" spans="1:6" x14ac:dyDescent="0.25">
      <c r="A449" s="414" t="s">
        <v>1181</v>
      </c>
      <c r="B449" s="409" t="s">
        <v>1303</v>
      </c>
      <c r="C449" s="410">
        <f>_xlfn.XLOOKUP(A449,INPUT_DATA!$CJ$4:$CJ$397,INPUT_DATA!$CL$4:$CL$397)</f>
        <v>1832085</v>
      </c>
      <c r="D449" s="795">
        <f>Top20Deb3738[[#This Row],[Principal Outstanding Balance]]/Top20Deb3738[[#Totals],[Principal Outstanding Balance]]</f>
        <v>4.8402479748278068E-3</v>
      </c>
      <c r="E449" s="796">
        <f>_xlfn.XLOOKUP(A449,INPUT_DATA!$CJ$4:$CJ$397,INPUT_DATA!$CM$4:$CM$397)</f>
        <v>7</v>
      </c>
      <c r="F449" s="795">
        <f>Top20Deb3738[[#This Row],[Nb of Loans]]/Top20Deb3738[[#Totals],[Nb of Loans]]</f>
        <v>7.9096045197740109E-3</v>
      </c>
    </row>
    <row r="450" spans="1:6" x14ac:dyDescent="0.25">
      <c r="A450" s="414" t="s">
        <v>1182</v>
      </c>
      <c r="B450" s="409" t="s">
        <v>1304</v>
      </c>
      <c r="C450" s="410">
        <f>_xlfn.XLOOKUP(A450,INPUT_DATA!$CJ$4:$CJ$397,INPUT_DATA!$CL$4:$CL$397)</f>
        <v>0</v>
      </c>
      <c r="D450" s="795">
        <f>Top20Deb3738[[#This Row],[Principal Outstanding Balance]]/Top20Deb3738[[#Totals],[Principal Outstanding Balance]]</f>
        <v>0</v>
      </c>
      <c r="E450" s="796">
        <f>_xlfn.XLOOKUP(A450,INPUT_DATA!$CJ$4:$CJ$397,INPUT_DATA!$CM$4:$CM$397)</f>
        <v>0</v>
      </c>
      <c r="F450" s="795">
        <f>Top20Deb3738[[#This Row],[Nb of Loans]]/Top20Deb3738[[#Totals],[Nb of Loans]]</f>
        <v>0</v>
      </c>
    </row>
    <row r="451" spans="1:6" x14ac:dyDescent="0.25">
      <c r="A451" s="414" t="s">
        <v>1183</v>
      </c>
      <c r="B451" s="409" t="s">
        <v>1305</v>
      </c>
      <c r="C451" s="410">
        <f>_xlfn.XLOOKUP(A451,INPUT_DATA!$CJ$4:$CJ$397,INPUT_DATA!$CL$4:$CL$397)</f>
        <v>0</v>
      </c>
      <c r="D451" s="795">
        <f>Top20Deb3738[[#This Row],[Principal Outstanding Balance]]/Top20Deb3738[[#Totals],[Principal Outstanding Balance]]</f>
        <v>0</v>
      </c>
      <c r="E451" s="796">
        <f>_xlfn.XLOOKUP(A451,INPUT_DATA!$CJ$4:$CJ$397,INPUT_DATA!$CM$4:$CM$397)</f>
        <v>0</v>
      </c>
      <c r="F451" s="795">
        <f>Top20Deb3738[[#This Row],[Nb of Loans]]/Top20Deb3738[[#Totals],[Nb of Loans]]</f>
        <v>0</v>
      </c>
    </row>
    <row r="452" spans="1:6" x14ac:dyDescent="0.25">
      <c r="A452" s="414" t="s">
        <v>1184</v>
      </c>
      <c r="B452" s="409" t="s">
        <v>1306</v>
      </c>
      <c r="C452" s="410">
        <f>_xlfn.XLOOKUP(A452,INPUT_DATA!$CJ$4:$CJ$397,INPUT_DATA!$CL$4:$CL$397)</f>
        <v>0</v>
      </c>
      <c r="D452" s="795">
        <f>Top20Deb3738[[#This Row],[Principal Outstanding Balance]]/Top20Deb3738[[#Totals],[Principal Outstanding Balance]]</f>
        <v>0</v>
      </c>
      <c r="E452" s="796">
        <f>_xlfn.XLOOKUP(A452,INPUT_DATA!$CJ$4:$CJ$397,INPUT_DATA!$CM$4:$CM$397)</f>
        <v>0</v>
      </c>
      <c r="F452" s="795">
        <f>Top20Deb3738[[#This Row],[Nb of Loans]]/Top20Deb3738[[#Totals],[Nb of Loans]]</f>
        <v>0</v>
      </c>
    </row>
    <row r="453" spans="1:6" x14ac:dyDescent="0.25">
      <c r="A453" s="414" t="s">
        <v>1185</v>
      </c>
      <c r="B453" s="409" t="s">
        <v>1307</v>
      </c>
      <c r="C453" s="410">
        <f>_xlfn.XLOOKUP(A453,INPUT_DATA!$CJ$4:$CJ$397,INPUT_DATA!$CL$4:$CL$397)</f>
        <v>0</v>
      </c>
      <c r="D453" s="795">
        <f>Top20Deb3738[[#This Row],[Principal Outstanding Balance]]/Top20Deb3738[[#Totals],[Principal Outstanding Balance]]</f>
        <v>0</v>
      </c>
      <c r="E453" s="796">
        <f>_xlfn.XLOOKUP(A453,INPUT_DATA!$CJ$4:$CJ$397,INPUT_DATA!$CM$4:$CM$397)</f>
        <v>0</v>
      </c>
      <c r="F453" s="795">
        <f>Top20Deb3738[[#This Row],[Nb of Loans]]/Top20Deb3738[[#Totals],[Nb of Loans]]</f>
        <v>0</v>
      </c>
    </row>
    <row r="454" spans="1:6" x14ac:dyDescent="0.25">
      <c r="A454" s="414" t="s">
        <v>1186</v>
      </c>
      <c r="B454" s="409" t="s">
        <v>1308</v>
      </c>
      <c r="C454" s="410">
        <f>_xlfn.XLOOKUP(A454,INPUT_DATA!$CJ$4:$CJ$397,INPUT_DATA!$CL$4:$CL$397)</f>
        <v>0</v>
      </c>
      <c r="D454" s="795">
        <f>Top20Deb3738[[#This Row],[Principal Outstanding Balance]]/Top20Deb3738[[#Totals],[Principal Outstanding Balance]]</f>
        <v>0</v>
      </c>
      <c r="E454" s="796">
        <f>_xlfn.XLOOKUP(A454,INPUT_DATA!$CJ$4:$CJ$397,INPUT_DATA!$CM$4:$CM$397)</f>
        <v>0</v>
      </c>
      <c r="F454" s="795">
        <f>Top20Deb3738[[#This Row],[Nb of Loans]]/Top20Deb3738[[#Totals],[Nb of Loans]]</f>
        <v>0</v>
      </c>
    </row>
    <row r="455" spans="1:6" x14ac:dyDescent="0.25">
      <c r="A455" s="414" t="s">
        <v>1187</v>
      </c>
      <c r="B455" s="409" t="s">
        <v>1309</v>
      </c>
      <c r="C455" s="410">
        <f>_xlfn.XLOOKUP(A455,INPUT_DATA!$CJ$4:$CJ$397,INPUT_DATA!$CL$4:$CL$397)</f>
        <v>0</v>
      </c>
      <c r="D455" s="795">
        <f>Top20Deb3738[[#This Row],[Principal Outstanding Balance]]/Top20Deb3738[[#Totals],[Principal Outstanding Balance]]</f>
        <v>0</v>
      </c>
      <c r="E455" s="796">
        <f>_xlfn.XLOOKUP(A455,INPUT_DATA!$CJ$4:$CJ$397,INPUT_DATA!$CM$4:$CM$397)</f>
        <v>0</v>
      </c>
      <c r="F455" s="795">
        <f>Top20Deb3738[[#This Row],[Nb of Loans]]/Top20Deb3738[[#Totals],[Nb of Loans]]</f>
        <v>0</v>
      </c>
    </row>
    <row r="456" spans="1:6" x14ac:dyDescent="0.25">
      <c r="A456" s="414" t="s">
        <v>1188</v>
      </c>
      <c r="B456" s="409" t="s">
        <v>1310</v>
      </c>
      <c r="C456" s="410">
        <f>_xlfn.XLOOKUP(A456,INPUT_DATA!$CJ$4:$CJ$397,INPUT_DATA!$CL$4:$CL$397)</f>
        <v>0</v>
      </c>
      <c r="D456" s="795">
        <f>Top20Deb3738[[#This Row],[Principal Outstanding Balance]]/Top20Deb3738[[#Totals],[Principal Outstanding Balance]]</f>
        <v>0</v>
      </c>
      <c r="E456" s="796">
        <f>_xlfn.XLOOKUP(A456,INPUT_DATA!$CJ$4:$CJ$397,INPUT_DATA!$CM$4:$CM$397)</f>
        <v>0</v>
      </c>
      <c r="F456" s="795">
        <f>Top20Deb3738[[#This Row],[Nb of Loans]]/Top20Deb3738[[#Totals],[Nb of Loans]]</f>
        <v>0</v>
      </c>
    </row>
    <row r="457" spans="1:6" x14ac:dyDescent="0.25">
      <c r="A457" s="414" t="s">
        <v>1189</v>
      </c>
      <c r="B457" s="409" t="s">
        <v>1311</v>
      </c>
      <c r="C457" s="410">
        <f>_xlfn.XLOOKUP(A457,INPUT_DATA!$CJ$4:$CJ$397,INPUT_DATA!$CL$4:$CL$397)</f>
        <v>1443352</v>
      </c>
      <c r="D457" s="795">
        <f>Top20Deb3738[[#This Row],[Principal Outstanding Balance]]/Top20Deb3738[[#Totals],[Principal Outstanding Balance]]</f>
        <v>3.8132409767907415E-3</v>
      </c>
      <c r="E457" s="796">
        <f>_xlfn.XLOOKUP(A457,INPUT_DATA!$CJ$4:$CJ$397,INPUT_DATA!$CM$4:$CM$397)</f>
        <v>3</v>
      </c>
      <c r="F457" s="795">
        <f>Top20Deb3738[[#This Row],[Nb of Loans]]/Top20Deb3738[[#Totals],[Nb of Loans]]</f>
        <v>3.3898305084745762E-3</v>
      </c>
    </row>
    <row r="458" spans="1:6" x14ac:dyDescent="0.25">
      <c r="A458" s="414" t="s">
        <v>1190</v>
      </c>
      <c r="B458" s="409" t="s">
        <v>1312</v>
      </c>
      <c r="C458" s="410">
        <f>_xlfn.XLOOKUP(A458,INPUT_DATA!$CJ$4:$CJ$397,INPUT_DATA!$CL$4:$CL$397)</f>
        <v>0</v>
      </c>
      <c r="D458" s="795">
        <f>Top20Deb3738[[#This Row],[Principal Outstanding Balance]]/Top20Deb3738[[#Totals],[Principal Outstanding Balance]]</f>
        <v>0</v>
      </c>
      <c r="E458" s="796">
        <f>_xlfn.XLOOKUP(A458,INPUT_DATA!$CJ$4:$CJ$397,INPUT_DATA!$CM$4:$CM$397)</f>
        <v>0</v>
      </c>
      <c r="F458" s="795">
        <f>Top20Deb3738[[#This Row],[Nb of Loans]]/Top20Deb3738[[#Totals],[Nb of Loans]]</f>
        <v>0</v>
      </c>
    </row>
    <row r="459" spans="1:6" x14ac:dyDescent="0.25">
      <c r="A459" s="414" t="s">
        <v>1191</v>
      </c>
      <c r="B459" s="409" t="s">
        <v>1313</v>
      </c>
      <c r="C459" s="410">
        <f>_xlfn.XLOOKUP(A459,INPUT_DATA!$CJ$4:$CJ$397,INPUT_DATA!$CL$4:$CL$397)</f>
        <v>2655362.14</v>
      </c>
      <c r="D459" s="795">
        <f>Top20Deb3738[[#This Row],[Principal Outstanding Balance]]/Top20Deb3738[[#Totals],[Principal Outstanding Balance]]</f>
        <v>7.0152919873092317E-3</v>
      </c>
      <c r="E459" s="796">
        <f>_xlfn.XLOOKUP(A459,INPUT_DATA!$CJ$4:$CJ$397,INPUT_DATA!$CM$4:$CM$397)</f>
        <v>12</v>
      </c>
      <c r="F459" s="795">
        <f>Top20Deb3738[[#This Row],[Nb of Loans]]/Top20Deb3738[[#Totals],[Nb of Loans]]</f>
        <v>1.3559322033898305E-2</v>
      </c>
    </row>
    <row r="460" spans="1:6" x14ac:dyDescent="0.25">
      <c r="A460" s="414" t="s">
        <v>1192</v>
      </c>
      <c r="B460" s="409" t="s">
        <v>1314</v>
      </c>
      <c r="C460" s="410">
        <f>_xlfn.XLOOKUP(A460,INPUT_DATA!$CJ$4:$CJ$397,INPUT_DATA!$CL$4:$CL$397)</f>
        <v>257400</v>
      </c>
      <c r="D460" s="795">
        <f>Top20Deb3738[[#This Row],[Principal Outstanding Balance]]/Top20Deb3738[[#Totals],[Principal Outstanding Balance]]</f>
        <v>6.8003385690111411E-4</v>
      </c>
      <c r="E460" s="796">
        <f>_xlfn.XLOOKUP(A460,INPUT_DATA!$CJ$4:$CJ$397,INPUT_DATA!$CM$4:$CM$397)</f>
        <v>2</v>
      </c>
      <c r="F460" s="795">
        <f>Top20Deb3738[[#This Row],[Nb of Loans]]/Top20Deb3738[[#Totals],[Nb of Loans]]</f>
        <v>2.2598870056497176E-3</v>
      </c>
    </row>
    <row r="461" spans="1:6" x14ac:dyDescent="0.25">
      <c r="A461" s="414" t="s">
        <v>1193</v>
      </c>
      <c r="B461" s="409" t="s">
        <v>1315</v>
      </c>
      <c r="C461" s="410">
        <f>_xlfn.XLOOKUP(A461,INPUT_DATA!$CJ$4:$CJ$397,INPUT_DATA!$CL$4:$CL$397)</f>
        <v>124000</v>
      </c>
      <c r="D461" s="795">
        <f>Top20Deb3738[[#This Row],[Principal Outstanding Balance]]/Top20Deb3738[[#Totals],[Principal Outstanding Balance]]</f>
        <v>3.2759983782338053E-4</v>
      </c>
      <c r="E461" s="796">
        <f>_xlfn.XLOOKUP(A461,INPUT_DATA!$CJ$4:$CJ$397,INPUT_DATA!$CM$4:$CM$397)</f>
        <v>1</v>
      </c>
      <c r="F461" s="795">
        <f>Top20Deb3738[[#This Row],[Nb of Loans]]/Top20Deb3738[[#Totals],[Nb of Loans]]</f>
        <v>1.1299435028248588E-3</v>
      </c>
    </row>
    <row r="462" spans="1:6" x14ac:dyDescent="0.25">
      <c r="A462" s="414" t="s">
        <v>1194</v>
      </c>
      <c r="B462" s="409" t="s">
        <v>1316</v>
      </c>
      <c r="C462" s="410">
        <f>_xlfn.XLOOKUP(A462,INPUT_DATA!$CJ$4:$CJ$397,INPUT_DATA!$CL$4:$CL$397)</f>
        <v>665497</v>
      </c>
      <c r="D462" s="795">
        <f>Top20Deb3738[[#This Row],[Principal Outstanding Balance]]/Top20Deb3738[[#Totals],[Principal Outstanding Balance]]</f>
        <v>1.7581992683221473E-3</v>
      </c>
      <c r="E462" s="796">
        <f>_xlfn.XLOOKUP(A462,INPUT_DATA!$CJ$4:$CJ$397,INPUT_DATA!$CM$4:$CM$397)</f>
        <v>3</v>
      </c>
      <c r="F462" s="795">
        <f>Top20Deb3738[[#This Row],[Nb of Loans]]/Top20Deb3738[[#Totals],[Nb of Loans]]</f>
        <v>3.3898305084745762E-3</v>
      </c>
    </row>
    <row r="463" spans="1:6" x14ac:dyDescent="0.25">
      <c r="A463" s="414" t="s">
        <v>1195</v>
      </c>
      <c r="B463" s="409" t="s">
        <v>1317</v>
      </c>
      <c r="C463" s="410">
        <f>_xlfn.XLOOKUP(A463,INPUT_DATA!$CJ$4:$CJ$397,INPUT_DATA!$CL$4:$CL$397)</f>
        <v>1462899</v>
      </c>
      <c r="D463" s="795">
        <f>Top20Deb3738[[#This Row],[Principal Outstanding Balance]]/Top20Deb3738[[#Totals],[Principal Outstanding Balance]]</f>
        <v>3.8648828641289156E-3</v>
      </c>
      <c r="E463" s="796">
        <f>_xlfn.XLOOKUP(A463,INPUT_DATA!$CJ$4:$CJ$397,INPUT_DATA!$CM$4:$CM$397)</f>
        <v>5</v>
      </c>
      <c r="F463" s="795">
        <f>Top20Deb3738[[#This Row],[Nb of Loans]]/Top20Deb3738[[#Totals],[Nb of Loans]]</f>
        <v>5.6497175141242938E-3</v>
      </c>
    </row>
    <row r="464" spans="1:6" x14ac:dyDescent="0.25">
      <c r="A464" s="414" t="s">
        <v>1196</v>
      </c>
      <c r="B464" s="409" t="s">
        <v>1318</v>
      </c>
      <c r="C464" s="410">
        <f>_xlfn.XLOOKUP(A464,INPUT_DATA!$CJ$4:$CJ$397,INPUT_DATA!$CL$4:$CL$397)</f>
        <v>106650</v>
      </c>
      <c r="D464" s="795">
        <f>Top20Deb3738[[#This Row],[Principal Outstanding Balance]]/Top20Deb3738[[#Totals],[Principal Outstanding Balance]]</f>
        <v>2.8176227986986721E-4</v>
      </c>
      <c r="E464" s="796">
        <f>_xlfn.XLOOKUP(A464,INPUT_DATA!$CJ$4:$CJ$397,INPUT_DATA!$CM$4:$CM$397)</f>
        <v>1</v>
      </c>
      <c r="F464" s="795">
        <f>Top20Deb3738[[#This Row],[Nb of Loans]]/Top20Deb3738[[#Totals],[Nb of Loans]]</f>
        <v>1.1299435028248588E-3</v>
      </c>
    </row>
    <row r="465" spans="1:6" x14ac:dyDescent="0.25">
      <c r="A465" s="414" t="s">
        <v>1197</v>
      </c>
      <c r="B465" s="409" t="s">
        <v>1319</v>
      </c>
      <c r="C465" s="410">
        <f>_xlfn.XLOOKUP(A465,INPUT_DATA!$CJ$4:$CJ$397,INPUT_DATA!$CL$4:$CL$397)</f>
        <v>885400</v>
      </c>
      <c r="D465" s="795">
        <f>Top20Deb3738[[#This Row],[Principal Outstanding Balance]]/Top20Deb3738[[#Totals],[Principal Outstanding Balance]]</f>
        <v>2.3391685194259766E-3</v>
      </c>
      <c r="E465" s="796">
        <f>_xlfn.XLOOKUP(A465,INPUT_DATA!$CJ$4:$CJ$397,INPUT_DATA!$CM$4:$CM$397)</f>
        <v>4</v>
      </c>
      <c r="F465" s="795">
        <f>Top20Deb3738[[#This Row],[Nb of Loans]]/Top20Deb3738[[#Totals],[Nb of Loans]]</f>
        <v>4.5197740112994352E-3</v>
      </c>
    </row>
    <row r="466" spans="1:6" x14ac:dyDescent="0.25">
      <c r="A466" s="414" t="s">
        <v>1198</v>
      </c>
      <c r="B466" s="409" t="s">
        <v>1320</v>
      </c>
      <c r="C466" s="410">
        <f>_xlfn.XLOOKUP(A466,INPUT_DATA!$CJ$4:$CJ$397,INPUT_DATA!$CL$4:$CL$397)</f>
        <v>2865560</v>
      </c>
      <c r="D466" s="795">
        <f>Top20Deb3738[[#This Row],[Principal Outstanding Balance]]/Top20Deb3738[[#Totals],[Principal Outstanding Balance]]</f>
        <v>7.5706208973642438E-3</v>
      </c>
      <c r="E466" s="796">
        <f>_xlfn.XLOOKUP(A466,INPUT_DATA!$CJ$4:$CJ$397,INPUT_DATA!$CM$4:$CM$397)</f>
        <v>8</v>
      </c>
      <c r="F466" s="795">
        <f>Top20Deb3738[[#This Row],[Nb of Loans]]/Top20Deb3738[[#Totals],[Nb of Loans]]</f>
        <v>9.0395480225988704E-3</v>
      </c>
    </row>
    <row r="467" spans="1:6" x14ac:dyDescent="0.25">
      <c r="A467" s="414" t="s">
        <v>1199</v>
      </c>
      <c r="B467" s="409" t="s">
        <v>1321</v>
      </c>
      <c r="C467" s="410">
        <f>_xlfn.XLOOKUP(A467,INPUT_DATA!$CJ$4:$CJ$397,INPUT_DATA!$CL$4:$CL$397)</f>
        <v>2592781</v>
      </c>
      <c r="D467" s="795">
        <f>Top20Deb3738[[#This Row],[Principal Outstanding Balance]]/Top20Deb3738[[#Totals],[Principal Outstanding Balance]]</f>
        <v>6.849956734770503E-3</v>
      </c>
      <c r="E467" s="796">
        <f>_xlfn.XLOOKUP(A467,INPUT_DATA!$CJ$4:$CJ$397,INPUT_DATA!$CM$4:$CM$397)</f>
        <v>10</v>
      </c>
      <c r="F467" s="795">
        <f>Top20Deb3738[[#This Row],[Nb of Loans]]/Top20Deb3738[[#Totals],[Nb of Loans]]</f>
        <v>1.1299435028248588E-2</v>
      </c>
    </row>
    <row r="468" spans="1:6" x14ac:dyDescent="0.25">
      <c r="A468" s="414" t="s">
        <v>1200</v>
      </c>
      <c r="B468" s="409" t="s">
        <v>1322</v>
      </c>
      <c r="C468" s="410">
        <f>_xlfn.XLOOKUP(A468,INPUT_DATA!$CJ$4:$CJ$397,INPUT_DATA!$CL$4:$CL$397)</f>
        <v>753698.04</v>
      </c>
      <c r="D468" s="795">
        <f>Top20Deb3738[[#This Row],[Principal Outstanding Balance]]/Top20Deb3738[[#Totals],[Principal Outstanding Balance]]</f>
        <v>1.9912206102564497E-3</v>
      </c>
      <c r="E468" s="796">
        <f>_xlfn.XLOOKUP(A468,INPUT_DATA!$CJ$4:$CJ$397,INPUT_DATA!$CM$4:$CM$397)</f>
        <v>3</v>
      </c>
      <c r="F468" s="795">
        <f>Top20Deb3738[[#This Row],[Nb of Loans]]/Top20Deb3738[[#Totals],[Nb of Loans]]</f>
        <v>3.3898305084745762E-3</v>
      </c>
    </row>
    <row r="469" spans="1:6" x14ac:dyDescent="0.25">
      <c r="A469" s="414" t="s">
        <v>1201</v>
      </c>
      <c r="B469" s="409" t="s">
        <v>1323</v>
      </c>
      <c r="C469" s="410">
        <f>_xlfn.XLOOKUP(A469,INPUT_DATA!$CJ$4:$CJ$397,INPUT_DATA!$CL$4:$CL$397)</f>
        <v>9647799</v>
      </c>
      <c r="D469" s="795">
        <f>Top20Deb3738[[#This Row],[Principal Outstanding Balance]]/Top20Deb3738[[#Totals],[Principal Outstanding Balance]]</f>
        <v>2.5488849901230425E-2</v>
      </c>
      <c r="E469" s="796">
        <f>_xlfn.XLOOKUP(A469,INPUT_DATA!$CJ$4:$CJ$397,INPUT_DATA!$CM$4:$CM$397)</f>
        <v>28</v>
      </c>
      <c r="F469" s="795">
        <f>Top20Deb3738[[#This Row],[Nb of Loans]]/Top20Deb3738[[#Totals],[Nb of Loans]]</f>
        <v>3.1638418079096044E-2</v>
      </c>
    </row>
    <row r="470" spans="1:6" x14ac:dyDescent="0.25">
      <c r="A470" s="414" t="s">
        <v>1202</v>
      </c>
      <c r="B470" s="409" t="s">
        <v>1324</v>
      </c>
      <c r="C470" s="410">
        <f>_xlfn.XLOOKUP(A470,INPUT_DATA!$CJ$4:$CJ$397,INPUT_DATA!$CL$4:$CL$397)</f>
        <v>1896250</v>
      </c>
      <c r="D470" s="795">
        <f>Top20Deb3738[[#This Row],[Principal Outstanding Balance]]/Top20Deb3738[[#Totals],[Principal Outstanding Balance]]</f>
        <v>5.0097676812305269E-3</v>
      </c>
      <c r="E470" s="796">
        <f>_xlfn.XLOOKUP(A470,INPUT_DATA!$CJ$4:$CJ$397,INPUT_DATA!$CM$4:$CM$397)</f>
        <v>5</v>
      </c>
      <c r="F470" s="795">
        <f>Top20Deb3738[[#This Row],[Nb of Loans]]/Top20Deb3738[[#Totals],[Nb of Loans]]</f>
        <v>5.6497175141242938E-3</v>
      </c>
    </row>
    <row r="471" spans="1:6" x14ac:dyDescent="0.25">
      <c r="A471" s="414" t="s">
        <v>1203</v>
      </c>
      <c r="B471" s="409" t="s">
        <v>1325</v>
      </c>
      <c r="C471" s="410">
        <f>_xlfn.XLOOKUP(A471,INPUT_DATA!$CJ$4:$CJ$397,INPUT_DATA!$CL$4:$CL$397)</f>
        <v>164766</v>
      </c>
      <c r="D471" s="795">
        <f>Top20Deb3738[[#This Row],[Principal Outstanding Balance]]/Top20Deb3738[[#Totals],[Principal Outstanding Balance]]</f>
        <v>4.3530092644199285E-4</v>
      </c>
      <c r="E471" s="796">
        <f>_xlfn.XLOOKUP(A471,INPUT_DATA!$CJ$4:$CJ$397,INPUT_DATA!$CM$4:$CM$397)</f>
        <v>1</v>
      </c>
      <c r="F471" s="795">
        <f>Top20Deb3738[[#This Row],[Nb of Loans]]/Top20Deb3738[[#Totals],[Nb of Loans]]</f>
        <v>1.1299435028248588E-3</v>
      </c>
    </row>
    <row r="472" spans="1:6" x14ac:dyDescent="0.25">
      <c r="A472" s="414" t="s">
        <v>1204</v>
      </c>
      <c r="B472" s="409" t="s">
        <v>1326</v>
      </c>
      <c r="C472" s="410">
        <f>_xlfn.XLOOKUP(A472,INPUT_DATA!$CJ$4:$CJ$397,INPUT_DATA!$CL$4:$CL$397)</f>
        <v>4424500</v>
      </c>
      <c r="D472" s="795">
        <f>Top20Deb3738[[#This Row],[Principal Outstanding Balance]]/Top20Deb3738[[#Totals],[Principal Outstanding Balance]]</f>
        <v>1.1689237761689895E-2</v>
      </c>
      <c r="E472" s="796">
        <f>_xlfn.XLOOKUP(A472,INPUT_DATA!$CJ$4:$CJ$397,INPUT_DATA!$CM$4:$CM$397)</f>
        <v>8</v>
      </c>
      <c r="F472" s="795">
        <f>Top20Deb3738[[#This Row],[Nb of Loans]]/Top20Deb3738[[#Totals],[Nb of Loans]]</f>
        <v>9.0395480225988704E-3</v>
      </c>
    </row>
    <row r="473" spans="1:6" x14ac:dyDescent="0.25">
      <c r="A473" s="414" t="s">
        <v>1205</v>
      </c>
      <c r="B473" s="409" t="s">
        <v>1327</v>
      </c>
      <c r="C473" s="410">
        <f>_xlfn.XLOOKUP(A473,INPUT_DATA!$CJ$4:$CJ$397,INPUT_DATA!$CL$4:$CL$397)</f>
        <v>0</v>
      </c>
      <c r="D473" s="795">
        <f>Top20Deb3738[[#This Row],[Principal Outstanding Balance]]/Top20Deb3738[[#Totals],[Principal Outstanding Balance]]</f>
        <v>0</v>
      </c>
      <c r="E473" s="796">
        <f>_xlfn.XLOOKUP(A473,INPUT_DATA!$CJ$4:$CJ$397,INPUT_DATA!$CM$4:$CM$397)</f>
        <v>0</v>
      </c>
      <c r="F473" s="795">
        <f>Top20Deb3738[[#This Row],[Nb of Loans]]/Top20Deb3738[[#Totals],[Nb of Loans]]</f>
        <v>0</v>
      </c>
    </row>
    <row r="474" spans="1:6" x14ac:dyDescent="0.25">
      <c r="A474" s="414" t="s">
        <v>1206</v>
      </c>
      <c r="B474" s="409" t="s">
        <v>1328</v>
      </c>
      <c r="C474" s="410">
        <f>_xlfn.XLOOKUP(A474,INPUT_DATA!$CJ$4:$CJ$397,INPUT_DATA!$CL$4:$CL$397)</f>
        <v>0</v>
      </c>
      <c r="D474" s="795">
        <f>Top20Deb3738[[#This Row],[Principal Outstanding Balance]]/Top20Deb3738[[#Totals],[Principal Outstanding Balance]]</f>
        <v>0</v>
      </c>
      <c r="E474" s="796">
        <f>_xlfn.XLOOKUP(A474,INPUT_DATA!$CJ$4:$CJ$397,INPUT_DATA!$CM$4:$CM$397)</f>
        <v>0</v>
      </c>
      <c r="F474" s="795">
        <f>Top20Deb3738[[#This Row],[Nb of Loans]]/Top20Deb3738[[#Totals],[Nb of Loans]]</f>
        <v>0</v>
      </c>
    </row>
    <row r="475" spans="1:6" x14ac:dyDescent="0.25">
      <c r="A475" s="414" t="s">
        <v>1207</v>
      </c>
      <c r="B475" s="409" t="s">
        <v>1329</v>
      </c>
      <c r="C475" s="410">
        <f>_xlfn.XLOOKUP(A475,INPUT_DATA!$CJ$4:$CJ$397,INPUT_DATA!$CL$4:$CL$397)</f>
        <v>115000</v>
      </c>
      <c r="D475" s="795">
        <f>Top20Deb3738[[#This Row],[Principal Outstanding Balance]]/Top20Deb3738[[#Totals],[Principal Outstanding Balance]]</f>
        <v>3.038224302394255E-4</v>
      </c>
      <c r="E475" s="796">
        <f>_xlfn.XLOOKUP(A475,INPUT_DATA!$CJ$4:$CJ$397,INPUT_DATA!$CM$4:$CM$397)</f>
        <v>1</v>
      </c>
      <c r="F475" s="795">
        <f>Top20Deb3738[[#This Row],[Nb of Loans]]/Top20Deb3738[[#Totals],[Nb of Loans]]</f>
        <v>1.1299435028248588E-3</v>
      </c>
    </row>
    <row r="476" spans="1:6" x14ac:dyDescent="0.25">
      <c r="A476" s="414" t="s">
        <v>1208</v>
      </c>
      <c r="B476" s="409" t="s">
        <v>1330</v>
      </c>
      <c r="C476" s="410">
        <f>_xlfn.XLOOKUP(A476,INPUT_DATA!$CJ$4:$CJ$397,INPUT_DATA!$CL$4:$CL$397)</f>
        <v>180000</v>
      </c>
      <c r="D476" s="795">
        <f>Top20Deb3738[[#This Row],[Principal Outstanding Balance]]/Top20Deb3738[[#Totals],[Principal Outstanding Balance]]</f>
        <v>4.7554815167910077E-4</v>
      </c>
      <c r="E476" s="796">
        <f>_xlfn.XLOOKUP(A476,INPUT_DATA!$CJ$4:$CJ$397,INPUT_DATA!$CM$4:$CM$397)</f>
        <v>1</v>
      </c>
      <c r="F476" s="795">
        <f>Top20Deb3738[[#This Row],[Nb of Loans]]/Top20Deb3738[[#Totals],[Nb of Loans]]</f>
        <v>1.1299435028248588E-3</v>
      </c>
    </row>
    <row r="477" spans="1:6" x14ac:dyDescent="0.25">
      <c r="A477" s="414" t="s">
        <v>1209</v>
      </c>
      <c r="B477" s="409" t="s">
        <v>1331</v>
      </c>
      <c r="C477" s="410">
        <f>_xlfn.XLOOKUP(A477,INPUT_DATA!$CJ$4:$CJ$397,INPUT_DATA!$CL$4:$CL$397)</f>
        <v>1161044</v>
      </c>
      <c r="D477" s="795">
        <f>Top20Deb3738[[#This Row],[Principal Outstanding Balance]]/Top20Deb3738[[#Totals],[Principal Outstanding Balance]]</f>
        <v>3.0674018234339434E-3</v>
      </c>
      <c r="E477" s="796">
        <f>_xlfn.XLOOKUP(A477,INPUT_DATA!$CJ$4:$CJ$397,INPUT_DATA!$CM$4:$CM$397)</f>
        <v>5</v>
      </c>
      <c r="F477" s="795">
        <f>Top20Deb3738[[#This Row],[Nb of Loans]]/Top20Deb3738[[#Totals],[Nb of Loans]]</f>
        <v>5.6497175141242938E-3</v>
      </c>
    </row>
    <row r="478" spans="1:6" x14ac:dyDescent="0.25">
      <c r="A478" s="414" t="s">
        <v>1210</v>
      </c>
      <c r="B478" s="409" t="s">
        <v>1332</v>
      </c>
      <c r="C478" s="410">
        <f>_xlfn.XLOOKUP(A478,INPUT_DATA!$CJ$4:$CJ$397,INPUT_DATA!$CL$4:$CL$397)</f>
        <v>165000</v>
      </c>
      <c r="D478" s="795">
        <f>Top20Deb3738[[#This Row],[Principal Outstanding Balance]]/Top20Deb3738[[#Totals],[Principal Outstanding Balance]]</f>
        <v>4.3591913903917568E-4</v>
      </c>
      <c r="E478" s="796">
        <f>_xlfn.XLOOKUP(A478,INPUT_DATA!$CJ$4:$CJ$397,INPUT_DATA!$CM$4:$CM$397)</f>
        <v>1</v>
      </c>
      <c r="F478" s="795">
        <f>Top20Deb3738[[#This Row],[Nb of Loans]]/Top20Deb3738[[#Totals],[Nb of Loans]]</f>
        <v>1.1299435028248588E-3</v>
      </c>
    </row>
    <row r="479" spans="1:6" x14ac:dyDescent="0.25">
      <c r="A479" s="414" t="s">
        <v>1211</v>
      </c>
      <c r="B479" s="409" t="s">
        <v>1333</v>
      </c>
      <c r="C479" s="410">
        <f>_xlfn.XLOOKUP(A479,INPUT_DATA!$CJ$4:$CJ$397,INPUT_DATA!$CL$4:$CL$397)</f>
        <v>30000</v>
      </c>
      <c r="D479" s="795">
        <f>Top20Deb3738[[#This Row],[Principal Outstanding Balance]]/Top20Deb3738[[#Totals],[Principal Outstanding Balance]]</f>
        <v>7.9258025279850119E-5</v>
      </c>
      <c r="E479" s="796">
        <f>_xlfn.XLOOKUP(A479,INPUT_DATA!$CJ$4:$CJ$397,INPUT_DATA!$CM$4:$CM$397)</f>
        <v>1</v>
      </c>
      <c r="F479" s="795">
        <f>Top20Deb3738[[#This Row],[Nb of Loans]]/Top20Deb3738[[#Totals],[Nb of Loans]]</f>
        <v>1.1299435028248588E-3</v>
      </c>
    </row>
    <row r="480" spans="1:6" x14ac:dyDescent="0.25">
      <c r="A480" s="414" t="s">
        <v>1212</v>
      </c>
      <c r="B480" s="409" t="s">
        <v>1334</v>
      </c>
      <c r="C480" s="410">
        <f>_xlfn.XLOOKUP(A480,INPUT_DATA!$CJ$4:$CJ$397,INPUT_DATA!$CL$4:$CL$397)</f>
        <v>815000</v>
      </c>
      <c r="D480" s="795">
        <f>Top20Deb3738[[#This Row],[Principal Outstanding Balance]]/Top20Deb3738[[#Totals],[Principal Outstanding Balance]]</f>
        <v>2.1531763534359282E-3</v>
      </c>
      <c r="E480" s="796">
        <f>_xlfn.XLOOKUP(A480,INPUT_DATA!$CJ$4:$CJ$397,INPUT_DATA!$CM$4:$CM$397)</f>
        <v>3</v>
      </c>
      <c r="F480" s="795">
        <f>Top20Deb3738[[#This Row],[Nb of Loans]]/Top20Deb3738[[#Totals],[Nb of Loans]]</f>
        <v>3.3898305084745762E-3</v>
      </c>
    </row>
    <row r="481" spans="1:6" x14ac:dyDescent="0.25">
      <c r="A481" s="414" t="s">
        <v>1213</v>
      </c>
      <c r="B481" s="409" t="s">
        <v>1335</v>
      </c>
      <c r="C481" s="410">
        <f>_xlfn.XLOOKUP(A481,INPUT_DATA!$CJ$4:$CJ$397,INPUT_DATA!$CL$4:$CL$397)</f>
        <v>3299019</v>
      </c>
      <c r="D481" s="795">
        <f>Top20Deb3738[[#This Row],[Principal Outstanding Balance]]/Top20Deb3738[[#Totals],[Principal Outstanding Balance]]</f>
        <v>8.715791043356862E-3</v>
      </c>
      <c r="E481" s="796">
        <f>_xlfn.XLOOKUP(A481,INPUT_DATA!$CJ$4:$CJ$397,INPUT_DATA!$CM$4:$CM$397)</f>
        <v>6</v>
      </c>
      <c r="F481" s="795">
        <f>Top20Deb3738[[#This Row],[Nb of Loans]]/Top20Deb3738[[#Totals],[Nb of Loans]]</f>
        <v>6.7796610169491523E-3</v>
      </c>
    </row>
    <row r="482" spans="1:6" x14ac:dyDescent="0.25">
      <c r="A482" s="414" t="s">
        <v>1214</v>
      </c>
      <c r="B482" s="409" t="s">
        <v>1336</v>
      </c>
      <c r="C482" s="410">
        <f>_xlfn.XLOOKUP(A482,INPUT_DATA!$CJ$4:$CJ$397,INPUT_DATA!$CL$4:$CL$397)</f>
        <v>3865937.17</v>
      </c>
      <c r="D482" s="795">
        <f>Top20Deb3738[[#This Row],[Principal Outstanding Balance]]/Top20Deb3738[[#Totals],[Principal Outstanding Balance]]</f>
        <v>1.0213551531672409E-2</v>
      </c>
      <c r="E482" s="796">
        <f>_xlfn.XLOOKUP(A482,INPUT_DATA!$CJ$4:$CJ$397,INPUT_DATA!$CM$4:$CM$397)</f>
        <v>18</v>
      </c>
      <c r="F482" s="795">
        <f>Top20Deb3738[[#This Row],[Nb of Loans]]/Top20Deb3738[[#Totals],[Nb of Loans]]</f>
        <v>2.0338983050847456E-2</v>
      </c>
    </row>
    <row r="483" spans="1:6" x14ac:dyDescent="0.25">
      <c r="A483" s="414" t="s">
        <v>1215</v>
      </c>
      <c r="B483" s="409" t="s">
        <v>1337</v>
      </c>
      <c r="C483" s="410">
        <f>_xlfn.XLOOKUP(A483,INPUT_DATA!$CJ$4:$CJ$397,INPUT_DATA!$CL$4:$CL$397)</f>
        <v>0</v>
      </c>
      <c r="D483" s="795">
        <f>Top20Deb3738[[#This Row],[Principal Outstanding Balance]]/Top20Deb3738[[#Totals],[Principal Outstanding Balance]]</f>
        <v>0</v>
      </c>
      <c r="E483" s="796">
        <f>_xlfn.XLOOKUP(A483,INPUT_DATA!$CJ$4:$CJ$397,INPUT_DATA!$CM$4:$CM$397)</f>
        <v>0</v>
      </c>
      <c r="F483" s="795">
        <f>Top20Deb3738[[#This Row],[Nb of Loans]]/Top20Deb3738[[#Totals],[Nb of Loans]]</f>
        <v>0</v>
      </c>
    </row>
    <row r="484" spans="1:6" x14ac:dyDescent="0.25">
      <c r="A484" s="414" t="s">
        <v>1216</v>
      </c>
      <c r="B484" s="409" t="s">
        <v>1338</v>
      </c>
      <c r="C484" s="410">
        <f>_xlfn.XLOOKUP(A484,INPUT_DATA!$CJ$4:$CJ$397,INPUT_DATA!$CL$4:$CL$397)</f>
        <v>529002</v>
      </c>
      <c r="D484" s="795">
        <f>Top20Deb3738[[#This Row],[Principal Outstanding Balance]]/Top20Deb3738[[#Totals],[Principal Outstanding Balance]]</f>
        <v>1.3975884629697092E-3</v>
      </c>
      <c r="E484" s="796">
        <f>_xlfn.XLOOKUP(A484,INPUT_DATA!$CJ$4:$CJ$397,INPUT_DATA!$CM$4:$CM$397)</f>
        <v>3</v>
      </c>
      <c r="F484" s="795">
        <f>Top20Deb3738[[#This Row],[Nb of Loans]]/Top20Deb3738[[#Totals],[Nb of Loans]]</f>
        <v>3.3898305084745762E-3</v>
      </c>
    </row>
    <row r="485" spans="1:6" x14ac:dyDescent="0.25">
      <c r="A485" s="414" t="s">
        <v>1217</v>
      </c>
      <c r="B485" s="409" t="s">
        <v>1339</v>
      </c>
      <c r="C485" s="410">
        <f>_xlfn.XLOOKUP(A485,INPUT_DATA!$CJ$4:$CJ$397,INPUT_DATA!$CL$4:$CL$397)</f>
        <v>0</v>
      </c>
      <c r="D485" s="795">
        <f>Top20Deb3738[[#This Row],[Principal Outstanding Balance]]/Top20Deb3738[[#Totals],[Principal Outstanding Balance]]</f>
        <v>0</v>
      </c>
      <c r="E485" s="796">
        <f>_xlfn.XLOOKUP(A485,INPUT_DATA!$CJ$4:$CJ$397,INPUT_DATA!$CM$4:$CM$397)</f>
        <v>0</v>
      </c>
      <c r="F485" s="795">
        <f>Top20Deb3738[[#This Row],[Nb of Loans]]/Top20Deb3738[[#Totals],[Nb of Loans]]</f>
        <v>0</v>
      </c>
    </row>
    <row r="486" spans="1:6" x14ac:dyDescent="0.25">
      <c r="A486" s="414" t="s">
        <v>1218</v>
      </c>
      <c r="B486" s="409" t="s">
        <v>1340</v>
      </c>
      <c r="C486" s="410">
        <f>_xlfn.XLOOKUP(A486,INPUT_DATA!$CJ$4:$CJ$397,INPUT_DATA!$CL$4:$CL$397)</f>
        <v>0</v>
      </c>
      <c r="D486" s="795">
        <f>Top20Deb3738[[#This Row],[Principal Outstanding Balance]]/Top20Deb3738[[#Totals],[Principal Outstanding Balance]]</f>
        <v>0</v>
      </c>
      <c r="E486" s="796">
        <f>_xlfn.XLOOKUP(A486,INPUT_DATA!$CJ$4:$CJ$397,INPUT_DATA!$CM$4:$CM$397)</f>
        <v>0</v>
      </c>
      <c r="F486" s="795">
        <f>Top20Deb3738[[#This Row],[Nb of Loans]]/Top20Deb3738[[#Totals],[Nb of Loans]]</f>
        <v>0</v>
      </c>
    </row>
    <row r="487" spans="1:6" x14ac:dyDescent="0.25">
      <c r="A487" s="414" t="s">
        <v>1219</v>
      </c>
      <c r="B487" s="409" t="s">
        <v>1341</v>
      </c>
      <c r="C487" s="410">
        <f>_xlfn.XLOOKUP(A487,INPUT_DATA!$CJ$4:$CJ$397,INPUT_DATA!$CL$4:$CL$397)</f>
        <v>5513787</v>
      </c>
      <c r="D487" s="795">
        <f>Top20Deb3738[[#This Row],[Principal Outstanding Balance]]/Top20Deb3738[[#Totals],[Principal Outstanding Balance]]</f>
        <v>1.4567062314456966E-2</v>
      </c>
      <c r="E487" s="796">
        <f>_xlfn.XLOOKUP(A487,INPUT_DATA!$CJ$4:$CJ$397,INPUT_DATA!$CM$4:$CM$397)</f>
        <v>20</v>
      </c>
      <c r="F487" s="795">
        <f>Top20Deb3738[[#This Row],[Nb of Loans]]/Top20Deb3738[[#Totals],[Nb of Loans]]</f>
        <v>2.2598870056497175E-2</v>
      </c>
    </row>
    <row r="488" spans="1:6" x14ac:dyDescent="0.25">
      <c r="A488" s="414" t="s">
        <v>1220</v>
      </c>
      <c r="B488" s="409" t="s">
        <v>1342</v>
      </c>
      <c r="C488" s="410">
        <f>_xlfn.XLOOKUP(A488,INPUT_DATA!$CJ$4:$CJ$397,INPUT_DATA!$CL$4:$CL$397)</f>
        <v>0</v>
      </c>
      <c r="D488" s="795">
        <f>Top20Deb3738[[#This Row],[Principal Outstanding Balance]]/Top20Deb3738[[#Totals],[Principal Outstanding Balance]]</f>
        <v>0</v>
      </c>
      <c r="E488" s="796">
        <f>_xlfn.XLOOKUP(A488,INPUT_DATA!$CJ$4:$CJ$397,INPUT_DATA!$CM$4:$CM$397)</f>
        <v>0</v>
      </c>
      <c r="F488" s="795">
        <f>Top20Deb3738[[#This Row],[Nb of Loans]]/Top20Deb3738[[#Totals],[Nb of Loans]]</f>
        <v>0</v>
      </c>
    </row>
    <row r="489" spans="1:6" x14ac:dyDescent="0.25">
      <c r="A489" s="414" t="s">
        <v>1221</v>
      </c>
      <c r="B489" s="409" t="s">
        <v>1343</v>
      </c>
      <c r="C489" s="410">
        <f>_xlfn.XLOOKUP(A489,INPUT_DATA!$CJ$4:$CJ$397,INPUT_DATA!$CL$4:$CL$397)</f>
        <v>0</v>
      </c>
      <c r="D489" s="795">
        <f>Top20Deb3738[[#This Row],[Principal Outstanding Balance]]/Top20Deb3738[[#Totals],[Principal Outstanding Balance]]</f>
        <v>0</v>
      </c>
      <c r="E489" s="796">
        <f>_xlfn.XLOOKUP(A489,INPUT_DATA!$CJ$4:$CJ$397,INPUT_DATA!$CM$4:$CM$397)</f>
        <v>0</v>
      </c>
      <c r="F489" s="795">
        <f>Top20Deb3738[[#This Row],[Nb of Loans]]/Top20Deb3738[[#Totals],[Nb of Loans]]</f>
        <v>0</v>
      </c>
    </row>
    <row r="490" spans="1:6" x14ac:dyDescent="0.25">
      <c r="A490" s="414" t="s">
        <v>1222</v>
      </c>
      <c r="B490" s="409" t="s">
        <v>1344</v>
      </c>
      <c r="C490" s="410">
        <f>_xlfn.XLOOKUP(A490,INPUT_DATA!$CJ$4:$CJ$397,INPUT_DATA!$CL$4:$CL$397)</f>
        <v>331500</v>
      </c>
      <c r="D490" s="795">
        <f>Top20Deb3738[[#This Row],[Principal Outstanding Balance]]/Top20Deb3738[[#Totals],[Principal Outstanding Balance]]</f>
        <v>8.7580117934234387E-4</v>
      </c>
      <c r="E490" s="796">
        <f>_xlfn.XLOOKUP(A490,INPUT_DATA!$CJ$4:$CJ$397,INPUT_DATA!$CM$4:$CM$397)</f>
        <v>1</v>
      </c>
      <c r="F490" s="795">
        <f>Top20Deb3738[[#This Row],[Nb of Loans]]/Top20Deb3738[[#Totals],[Nb of Loans]]</f>
        <v>1.1299435028248588E-3</v>
      </c>
    </row>
    <row r="491" spans="1:6" x14ac:dyDescent="0.25">
      <c r="A491" s="414" t="s">
        <v>1223</v>
      </c>
      <c r="B491" s="409" t="s">
        <v>1345</v>
      </c>
      <c r="C491" s="410">
        <f>_xlfn.XLOOKUP(A491,INPUT_DATA!$CJ$4:$CJ$397,INPUT_DATA!$CL$4:$CL$397)</f>
        <v>0</v>
      </c>
      <c r="D491" s="795">
        <f>Top20Deb3738[[#This Row],[Principal Outstanding Balance]]/Top20Deb3738[[#Totals],[Principal Outstanding Balance]]</f>
        <v>0</v>
      </c>
      <c r="E491" s="796">
        <f>_xlfn.XLOOKUP(A491,INPUT_DATA!$CJ$4:$CJ$397,INPUT_DATA!$CM$4:$CM$397)</f>
        <v>0</v>
      </c>
      <c r="F491" s="795">
        <f>Top20Deb3738[[#This Row],[Nb of Loans]]/Top20Deb3738[[#Totals],[Nb of Loans]]</f>
        <v>0</v>
      </c>
    </row>
    <row r="492" spans="1:6" x14ac:dyDescent="0.25">
      <c r="A492" s="414" t="s">
        <v>1224</v>
      </c>
      <c r="B492" s="409" t="s">
        <v>1346</v>
      </c>
      <c r="C492" s="410">
        <f>_xlfn.XLOOKUP(A492,INPUT_DATA!$CJ$4:$CJ$397,INPUT_DATA!$CL$4:$CL$397)</f>
        <v>640000</v>
      </c>
      <c r="D492" s="795">
        <f>Top20Deb3738[[#This Row],[Principal Outstanding Balance]]/Top20Deb3738[[#Totals],[Principal Outstanding Balance]]</f>
        <v>1.6908378726368026E-3</v>
      </c>
      <c r="E492" s="796">
        <f>_xlfn.XLOOKUP(A492,INPUT_DATA!$CJ$4:$CJ$397,INPUT_DATA!$CM$4:$CM$397)</f>
        <v>2</v>
      </c>
      <c r="F492" s="795">
        <f>Top20Deb3738[[#This Row],[Nb of Loans]]/Top20Deb3738[[#Totals],[Nb of Loans]]</f>
        <v>2.2598870056497176E-3</v>
      </c>
    </row>
    <row r="493" spans="1:6" x14ac:dyDescent="0.25">
      <c r="A493" s="414" t="s">
        <v>1225</v>
      </c>
      <c r="B493" s="409" t="s">
        <v>1347</v>
      </c>
      <c r="C493" s="410">
        <f>_xlfn.XLOOKUP(A493,INPUT_DATA!$CJ$4:$CJ$397,INPUT_DATA!$CL$4:$CL$397)</f>
        <v>0</v>
      </c>
      <c r="D493" s="795">
        <f>Top20Deb3738[[#This Row],[Principal Outstanding Balance]]/Top20Deb3738[[#Totals],[Principal Outstanding Balance]]</f>
        <v>0</v>
      </c>
      <c r="E493" s="796">
        <f>_xlfn.XLOOKUP(A493,INPUT_DATA!$CJ$4:$CJ$397,INPUT_DATA!$CM$4:$CM$397)</f>
        <v>0</v>
      </c>
      <c r="F493" s="795">
        <f>Top20Deb3738[[#This Row],[Nb of Loans]]/Top20Deb3738[[#Totals],[Nb of Loans]]</f>
        <v>0</v>
      </c>
    </row>
    <row r="494" spans="1:6" x14ac:dyDescent="0.25">
      <c r="A494" s="414" t="s">
        <v>1226</v>
      </c>
      <c r="B494" s="409" t="s">
        <v>1348</v>
      </c>
      <c r="C494" s="410">
        <f>_xlfn.XLOOKUP(A494,INPUT_DATA!$CJ$4:$CJ$397,INPUT_DATA!$CL$4:$CL$397)</f>
        <v>0</v>
      </c>
      <c r="D494" s="795">
        <f>Top20Deb3738[[#This Row],[Principal Outstanding Balance]]/Top20Deb3738[[#Totals],[Principal Outstanding Balance]]</f>
        <v>0</v>
      </c>
      <c r="E494" s="796">
        <f>_xlfn.XLOOKUP(A494,INPUT_DATA!$CJ$4:$CJ$397,INPUT_DATA!$CM$4:$CM$397)</f>
        <v>0</v>
      </c>
      <c r="F494" s="795">
        <f>Top20Deb3738[[#This Row],[Nb of Loans]]/Top20Deb3738[[#Totals],[Nb of Loans]]</f>
        <v>0</v>
      </c>
    </row>
    <row r="495" spans="1:6" x14ac:dyDescent="0.25">
      <c r="A495" s="414" t="s">
        <v>1227</v>
      </c>
      <c r="B495" s="409" t="s">
        <v>1349</v>
      </c>
      <c r="C495" s="410">
        <f>_xlfn.XLOOKUP(A495,INPUT_DATA!$CJ$4:$CJ$397,INPUT_DATA!$CL$4:$CL$397)</f>
        <v>220285</v>
      </c>
      <c r="D495" s="795">
        <f>Top20Deb3738[[#This Row],[Principal Outstanding Balance]]/Top20Deb3738[[#Totals],[Principal Outstanding Balance]]</f>
        <v>5.8197846995905955E-4</v>
      </c>
      <c r="E495" s="796">
        <f>_xlfn.XLOOKUP(A495,INPUT_DATA!$CJ$4:$CJ$397,INPUT_DATA!$CM$4:$CM$397)</f>
        <v>1</v>
      </c>
      <c r="F495" s="795">
        <f>Top20Deb3738[[#This Row],[Nb of Loans]]/Top20Deb3738[[#Totals],[Nb of Loans]]</f>
        <v>1.1299435028248588E-3</v>
      </c>
    </row>
    <row r="496" spans="1:6" x14ac:dyDescent="0.25">
      <c r="A496" s="414" t="s">
        <v>1228</v>
      </c>
      <c r="B496" s="409" t="s">
        <v>1350</v>
      </c>
      <c r="C496" s="410">
        <f>_xlfn.XLOOKUP(A496,INPUT_DATA!$CJ$4:$CJ$397,INPUT_DATA!$CL$4:$CL$397)</f>
        <v>871000</v>
      </c>
      <c r="D496" s="795">
        <f>Top20Deb3738[[#This Row],[Principal Outstanding Balance]]/Top20Deb3738[[#Totals],[Principal Outstanding Balance]]</f>
        <v>2.3011246672916485E-3</v>
      </c>
      <c r="E496" s="796">
        <f>_xlfn.XLOOKUP(A496,INPUT_DATA!$CJ$4:$CJ$397,INPUT_DATA!$CM$4:$CM$397)</f>
        <v>3</v>
      </c>
      <c r="F496" s="795">
        <f>Top20Deb3738[[#This Row],[Nb of Loans]]/Top20Deb3738[[#Totals],[Nb of Loans]]</f>
        <v>3.3898305084745762E-3</v>
      </c>
    </row>
    <row r="497" spans="1:6" x14ac:dyDescent="0.25">
      <c r="A497" s="414" t="s">
        <v>1229</v>
      </c>
      <c r="B497" s="409" t="s">
        <v>1351</v>
      </c>
      <c r="C497" s="410">
        <f>_xlfn.XLOOKUP(A497,INPUT_DATA!$CJ$4:$CJ$397,INPUT_DATA!$CL$4:$CL$397)</f>
        <v>2614003</v>
      </c>
      <c r="D497" s="795">
        <f>Top20Deb3738[[#This Row],[Principal Outstanding Balance]]/Top20Deb3738[[#Totals],[Principal Outstanding Balance]]</f>
        <v>6.9060238618534686E-3</v>
      </c>
      <c r="E497" s="796">
        <f>_xlfn.XLOOKUP(A497,INPUT_DATA!$CJ$4:$CJ$397,INPUT_DATA!$CM$4:$CM$397)</f>
        <v>7</v>
      </c>
      <c r="F497" s="795">
        <f>Top20Deb3738[[#This Row],[Nb of Loans]]/Top20Deb3738[[#Totals],[Nb of Loans]]</f>
        <v>7.9096045197740109E-3</v>
      </c>
    </row>
    <row r="498" spans="1:6" x14ac:dyDescent="0.25">
      <c r="A498" s="414" t="s">
        <v>1230</v>
      </c>
      <c r="B498" s="409" t="s">
        <v>1352</v>
      </c>
      <c r="C498" s="410">
        <f>_xlfn.XLOOKUP(A498,INPUT_DATA!$CJ$4:$CJ$397,INPUT_DATA!$CL$4:$CL$397)</f>
        <v>0</v>
      </c>
      <c r="D498" s="795">
        <f>Top20Deb3738[[#This Row],[Principal Outstanding Balance]]/Top20Deb3738[[#Totals],[Principal Outstanding Balance]]</f>
        <v>0</v>
      </c>
      <c r="E498" s="796">
        <f>_xlfn.XLOOKUP(A498,INPUT_DATA!$CJ$4:$CJ$397,INPUT_DATA!$CM$4:$CM$397)</f>
        <v>0</v>
      </c>
      <c r="F498" s="795">
        <f>Top20Deb3738[[#This Row],[Nb of Loans]]/Top20Deb3738[[#Totals],[Nb of Loans]]</f>
        <v>0</v>
      </c>
    </row>
    <row r="499" spans="1:6" x14ac:dyDescent="0.25">
      <c r="A499" s="414" t="s">
        <v>1231</v>
      </c>
      <c r="B499" s="409" t="s">
        <v>1353</v>
      </c>
      <c r="C499" s="410">
        <f>_xlfn.XLOOKUP(A499,INPUT_DATA!$CJ$4:$CJ$397,INPUT_DATA!$CL$4:$CL$397)</f>
        <v>844900</v>
      </c>
      <c r="D499" s="795">
        <f>Top20Deb3738[[#This Row],[Principal Outstanding Balance]]/Top20Deb3738[[#Totals],[Principal Outstanding Balance]]</f>
        <v>2.232170185298179E-3</v>
      </c>
      <c r="E499" s="796">
        <f>_xlfn.XLOOKUP(A499,INPUT_DATA!$CJ$4:$CJ$397,INPUT_DATA!$CM$4:$CM$397)</f>
        <v>2</v>
      </c>
      <c r="F499" s="795">
        <f>Top20Deb3738[[#This Row],[Nb of Loans]]/Top20Deb3738[[#Totals],[Nb of Loans]]</f>
        <v>2.2598870056497176E-3</v>
      </c>
    </row>
    <row r="500" spans="1:6" x14ac:dyDescent="0.25">
      <c r="A500" s="414" t="s">
        <v>1232</v>
      </c>
      <c r="B500" s="409" t="s">
        <v>1354</v>
      </c>
      <c r="C500" s="410">
        <f>_xlfn.XLOOKUP(A500,INPUT_DATA!$CJ$4:$CJ$397,INPUT_DATA!$CL$4:$CL$397)</f>
        <v>2163827</v>
      </c>
      <c r="D500" s="795">
        <f>Top20Deb3738[[#This Row],[Principal Outstanding Balance]]/Top20Deb3738[[#Totals],[Principal Outstanding Balance]]</f>
        <v>5.7166885022407422E-3</v>
      </c>
      <c r="E500" s="796">
        <f>_xlfn.XLOOKUP(A500,INPUT_DATA!$CJ$4:$CJ$397,INPUT_DATA!$CM$4:$CM$397)</f>
        <v>9</v>
      </c>
      <c r="F500" s="795">
        <f>Top20Deb3738[[#This Row],[Nb of Loans]]/Top20Deb3738[[#Totals],[Nb of Loans]]</f>
        <v>1.0169491525423728E-2</v>
      </c>
    </row>
    <row r="501" spans="1:6" x14ac:dyDescent="0.25">
      <c r="A501" s="414" t="s">
        <v>1233</v>
      </c>
      <c r="B501" s="409" t="s">
        <v>1355</v>
      </c>
      <c r="C501" s="410">
        <f>_xlfn.XLOOKUP(A501,INPUT_DATA!$CJ$4:$CJ$397,INPUT_DATA!$CL$4:$CL$397)</f>
        <v>830000</v>
      </c>
      <c r="D501" s="411">
        <f>Top20Deb3738[[#This Row],[Principal Outstanding Balance]]/Top20Deb3738[[#Totals],[Principal Outstanding Balance]]</f>
        <v>2.1928053660758536E-3</v>
      </c>
      <c r="E501" s="412">
        <f>_xlfn.XLOOKUP(A501,INPUT_DATA!$CJ$4:$CJ$397,INPUT_DATA!$CM$4:$CM$397)</f>
        <v>2</v>
      </c>
      <c r="F501" s="411">
        <f>Top20Deb3738[[#This Row],[Nb of Loans]]/Top20Deb3738[[#Totals],[Nb of Loans]]</f>
        <v>2.2598870056497176E-3</v>
      </c>
    </row>
    <row r="502" spans="1:6" x14ac:dyDescent="0.25">
      <c r="A502" s="414" t="s">
        <v>1234</v>
      </c>
      <c r="B502" s="409" t="s">
        <v>1356</v>
      </c>
      <c r="C502" s="410">
        <f>_xlfn.XLOOKUP(A502,INPUT_DATA!$CJ$4:$CJ$397,INPUT_DATA!$CL$4:$CL$397)</f>
        <v>10054059</v>
      </c>
      <c r="D502" s="411">
        <f>Top20Deb3738[[#This Row],[Principal Outstanding Balance]]/Top20Deb3738[[#Totals],[Principal Outstanding Balance]]</f>
        <v>2.6562162079570156E-2</v>
      </c>
      <c r="E502" s="412">
        <f>_xlfn.XLOOKUP(A502,INPUT_DATA!$CJ$4:$CJ$397,INPUT_DATA!$CM$4:$CM$397)</f>
        <v>24</v>
      </c>
      <c r="F502" s="411">
        <f>Top20Deb3738[[#This Row],[Nb of Loans]]/Top20Deb3738[[#Totals],[Nb of Loans]]</f>
        <v>2.7118644067796609E-2</v>
      </c>
    </row>
    <row r="503" spans="1:6" x14ac:dyDescent="0.25">
      <c r="A503" s="414" t="s">
        <v>1235</v>
      </c>
      <c r="B503" s="409" t="s">
        <v>1357</v>
      </c>
      <c r="C503" s="410">
        <f>_xlfn.XLOOKUP(A503,INPUT_DATA!$CJ$4:$CJ$397,INPUT_DATA!$CL$4:$CL$397)</f>
        <v>6562882</v>
      </c>
      <c r="D503" s="411">
        <f>Top20Deb3738[[#This Row],[Principal Outstanding Balance]]/Top20Deb3738[[#Totals],[Principal Outstanding Balance]]</f>
        <v>1.7338702248822446E-2</v>
      </c>
      <c r="E503" s="412">
        <f>_xlfn.XLOOKUP(A503,INPUT_DATA!$CJ$4:$CJ$397,INPUT_DATA!$CM$4:$CM$397)</f>
        <v>16</v>
      </c>
      <c r="F503" s="411">
        <f>Top20Deb3738[[#This Row],[Nb of Loans]]/Top20Deb3738[[#Totals],[Nb of Loans]]</f>
        <v>1.8079096045197741E-2</v>
      </c>
    </row>
    <row r="504" spans="1:6" x14ac:dyDescent="0.25">
      <c r="A504" s="414" t="s">
        <v>1236</v>
      </c>
      <c r="B504" s="409" t="s">
        <v>1358</v>
      </c>
      <c r="C504" s="410">
        <f>_xlfn.XLOOKUP(A504,INPUT_DATA!$CJ$4:$CJ$397,INPUT_DATA!$CL$4:$CL$397)</f>
        <v>4141440</v>
      </c>
      <c r="D504" s="411">
        <f>Top20Deb3738[[#This Row],[Principal Outstanding Balance]]/Top20Deb3738[[#Totals],[Principal Outstanding Balance]]</f>
        <v>1.0941411873832751E-2</v>
      </c>
      <c r="E504" s="412">
        <f>_xlfn.XLOOKUP(A504,INPUT_DATA!$CJ$4:$CJ$397,INPUT_DATA!$CM$4:$CM$397)</f>
        <v>11</v>
      </c>
      <c r="F504" s="411">
        <f>Top20Deb3738[[#This Row],[Nb of Loans]]/Top20Deb3738[[#Totals],[Nb of Loans]]</f>
        <v>1.2429378531073447E-2</v>
      </c>
    </row>
    <row r="505" spans="1:6" x14ac:dyDescent="0.25">
      <c r="A505" s="414" t="s">
        <v>1237</v>
      </c>
      <c r="B505" s="409" t="s">
        <v>1359</v>
      </c>
      <c r="C505" s="410">
        <f>_xlfn.XLOOKUP(A505,INPUT_DATA!$CJ$4:$CJ$397,INPUT_DATA!$CL$4:$CL$397)</f>
        <v>925000</v>
      </c>
      <c r="D505" s="411">
        <f>Top20Deb3738[[#This Row],[Principal Outstanding Balance]]/Top20Deb3738[[#Totals],[Principal Outstanding Balance]]</f>
        <v>2.443789112795379E-3</v>
      </c>
      <c r="E505" s="412">
        <f>_xlfn.XLOOKUP(A505,INPUT_DATA!$CJ$4:$CJ$397,INPUT_DATA!$CM$4:$CM$397)</f>
        <v>2</v>
      </c>
      <c r="F505" s="411">
        <f>Top20Deb3738[[#This Row],[Nb of Loans]]/Top20Deb3738[[#Totals],[Nb of Loans]]</f>
        <v>2.2598870056497176E-3</v>
      </c>
    </row>
    <row r="506" spans="1:6" x14ac:dyDescent="0.25">
      <c r="A506" s="414" t="s">
        <v>1238</v>
      </c>
      <c r="B506" s="409" t="s">
        <v>1360</v>
      </c>
      <c r="C506" s="410">
        <f>_xlfn.XLOOKUP(A506,INPUT_DATA!$CJ$4:$CJ$397,INPUT_DATA!$CL$4:$CL$397)</f>
        <v>0</v>
      </c>
      <c r="D506" s="411">
        <f>Top20Deb3738[[#This Row],[Principal Outstanding Balance]]/Top20Deb3738[[#Totals],[Principal Outstanding Balance]]</f>
        <v>0</v>
      </c>
      <c r="E506" s="412">
        <f>_xlfn.XLOOKUP(A506,INPUT_DATA!$CJ$4:$CJ$397,INPUT_DATA!$CM$4:$CM$397)</f>
        <v>0</v>
      </c>
      <c r="F506" s="411">
        <f>Top20Deb3738[[#This Row],[Nb of Loans]]/Top20Deb3738[[#Totals],[Nb of Loans]]</f>
        <v>0</v>
      </c>
    </row>
    <row r="507" spans="1:6" x14ac:dyDescent="0.25">
      <c r="A507" s="414" t="s">
        <v>1239</v>
      </c>
      <c r="B507" s="409" t="s">
        <v>1361</v>
      </c>
      <c r="C507" s="410">
        <f>_xlfn.XLOOKUP(A507,INPUT_DATA!$CJ$4:$CJ$397,INPUT_DATA!$CL$4:$CL$397)</f>
        <v>24155172.559999999</v>
      </c>
      <c r="D507" s="411">
        <f>Top20Deb3738[[#This Row],[Principal Outstanding Balance]]/Top20Deb3738[[#Totals],[Principal Outstanding Balance]]</f>
        <v>6.3816375913320733E-2</v>
      </c>
      <c r="E507" s="412">
        <f>_xlfn.XLOOKUP(A507,INPUT_DATA!$CJ$4:$CJ$397,INPUT_DATA!$CM$4:$CM$397)</f>
        <v>53</v>
      </c>
      <c r="F507" s="411">
        <f>Top20Deb3738[[#This Row],[Nb of Loans]]/Top20Deb3738[[#Totals],[Nb of Loans]]</f>
        <v>5.9887005649717516E-2</v>
      </c>
    </row>
    <row r="508" spans="1:6" x14ac:dyDescent="0.25">
      <c r="A508" s="414" t="s">
        <v>1240</v>
      </c>
      <c r="B508" s="409" t="s">
        <v>1362</v>
      </c>
      <c r="C508" s="410">
        <f>_xlfn.XLOOKUP(A508,INPUT_DATA!$CJ$4:$CJ$397,INPUT_DATA!$CL$4:$CL$397)</f>
        <v>5908639</v>
      </c>
      <c r="D508" s="411">
        <f>Top20Deb3738[[#This Row],[Principal Outstanding Balance]]/Top20Deb3738[[#Totals],[Principal Outstanding Balance]]</f>
        <v>1.5610235307716946E-2</v>
      </c>
      <c r="E508" s="412">
        <f>_xlfn.XLOOKUP(A508,INPUT_DATA!$CJ$4:$CJ$397,INPUT_DATA!$CM$4:$CM$397)</f>
        <v>16</v>
      </c>
      <c r="F508" s="411">
        <f>Top20Deb3738[[#This Row],[Nb of Loans]]/Top20Deb3738[[#Totals],[Nb of Loans]]</f>
        <v>1.8079096045197741E-2</v>
      </c>
    </row>
    <row r="509" spans="1:6" x14ac:dyDescent="0.25">
      <c r="A509" s="414" t="s">
        <v>1241</v>
      </c>
      <c r="B509" s="409" t="s">
        <v>1363</v>
      </c>
      <c r="C509" s="410">
        <f>_xlfn.XLOOKUP(A509,INPUT_DATA!$CJ$4:$CJ$397,INPUT_DATA!$CL$4:$CL$397)</f>
        <v>5120027.43</v>
      </c>
      <c r="D509" s="411">
        <f>Top20Deb3738[[#This Row],[Principal Outstanding Balance]]/Top20Deb3738[[#Totals],[Principal Outstanding Balance]]</f>
        <v>1.3526775449348868E-2</v>
      </c>
      <c r="E509" s="412">
        <f>_xlfn.XLOOKUP(A509,INPUT_DATA!$CJ$4:$CJ$397,INPUT_DATA!$CM$4:$CM$397)</f>
        <v>15</v>
      </c>
      <c r="F509" s="411">
        <f>Top20Deb3738[[#This Row],[Nb of Loans]]/Top20Deb3738[[#Totals],[Nb of Loans]]</f>
        <v>1.6949152542372881E-2</v>
      </c>
    </row>
    <row r="510" spans="1:6" x14ac:dyDescent="0.25">
      <c r="A510" s="414" t="s">
        <v>1242</v>
      </c>
      <c r="B510" s="409" t="s">
        <v>1364</v>
      </c>
      <c r="C510" s="410">
        <f>_xlfn.XLOOKUP(A510,INPUT_DATA!$CJ$4:$CJ$397,INPUT_DATA!$CL$4:$CL$397)</f>
        <v>1133000</v>
      </c>
      <c r="D510" s="411">
        <f>Top20Deb3738[[#This Row],[Principal Outstanding Balance]]/Top20Deb3738[[#Totals],[Principal Outstanding Balance]]</f>
        <v>2.9933114214023399E-3</v>
      </c>
      <c r="E510" s="412">
        <f>_xlfn.XLOOKUP(A510,INPUT_DATA!$CJ$4:$CJ$397,INPUT_DATA!$CM$4:$CM$397)</f>
        <v>4</v>
      </c>
      <c r="F510" s="411">
        <f>Top20Deb3738[[#This Row],[Nb of Loans]]/Top20Deb3738[[#Totals],[Nb of Loans]]</f>
        <v>4.5197740112994352E-3</v>
      </c>
    </row>
    <row r="511" spans="1:6" x14ac:dyDescent="0.25">
      <c r="A511" s="414" t="s">
        <v>1243</v>
      </c>
      <c r="B511" s="409" t="s">
        <v>1365</v>
      </c>
      <c r="C511" s="410">
        <f>_xlfn.XLOOKUP(A511,INPUT_DATA!$CJ$4:$CJ$397,INPUT_DATA!$CL$4:$CL$397)</f>
        <v>0</v>
      </c>
      <c r="D511" s="411">
        <f>Top20Deb3738[[#This Row],[Principal Outstanding Balance]]/Top20Deb3738[[#Totals],[Principal Outstanding Balance]]</f>
        <v>0</v>
      </c>
      <c r="E511" s="412">
        <f>_xlfn.XLOOKUP(A511,INPUT_DATA!$CJ$4:$CJ$397,INPUT_DATA!$CM$4:$CM$397)</f>
        <v>0</v>
      </c>
      <c r="F511" s="411">
        <f>Top20Deb3738[[#This Row],[Nb of Loans]]/Top20Deb3738[[#Totals],[Nb of Loans]]</f>
        <v>0</v>
      </c>
    </row>
    <row r="512" spans="1:6" x14ac:dyDescent="0.25">
      <c r="A512" s="414" t="s">
        <v>1244</v>
      </c>
      <c r="B512" s="409" t="s">
        <v>1366</v>
      </c>
      <c r="C512" s="410">
        <f>_xlfn.XLOOKUP(A512,INPUT_DATA!$CJ$4:$CJ$397,INPUT_DATA!$CL$4:$CL$397)</f>
        <v>0</v>
      </c>
      <c r="D512" s="411">
        <f>Top20Deb3738[[#This Row],[Principal Outstanding Balance]]/Top20Deb3738[[#Totals],[Principal Outstanding Balance]]</f>
        <v>0</v>
      </c>
      <c r="E512" s="412">
        <f>_xlfn.XLOOKUP(A512,INPUT_DATA!$CJ$4:$CJ$397,INPUT_DATA!$CM$4:$CM$397)</f>
        <v>0</v>
      </c>
      <c r="F512" s="411">
        <f>Top20Deb3738[[#This Row],[Nb of Loans]]/Top20Deb3738[[#Totals],[Nb of Loans]]</f>
        <v>0</v>
      </c>
    </row>
    <row r="513" spans="1:8" x14ac:dyDescent="0.25">
      <c r="A513" s="414" t="s">
        <v>521</v>
      </c>
      <c r="B513" s="409" t="s">
        <v>1367</v>
      </c>
      <c r="C513" s="410">
        <f>_xlfn.XLOOKUP(A513,INPUT_DATA!$CJ$4:$CJ$397,INPUT_DATA!$CL$4:$CL$397)</f>
        <v>0</v>
      </c>
      <c r="D513" s="411">
        <f>Top20Deb3738[[#This Row],[Principal Outstanding Balance]]/Top20Deb3738[[#Totals],[Principal Outstanding Balance]]</f>
        <v>0</v>
      </c>
      <c r="E513" s="412">
        <f>_xlfn.XLOOKUP(A513,INPUT_DATA!$CJ$4:$CJ$397,INPUT_DATA!$CM$4:$CM$397)</f>
        <v>0</v>
      </c>
      <c r="F513" s="411">
        <f>Top20Deb3738[[#This Row],[Nb of Loans]]/Top20Deb3738[[#Totals],[Nb of Loans]]</f>
        <v>0</v>
      </c>
    </row>
    <row r="514" spans="1:8" x14ac:dyDescent="0.25">
      <c r="A514" s="414" t="s">
        <v>522</v>
      </c>
      <c r="B514" s="409" t="s">
        <v>1368</v>
      </c>
      <c r="C514" s="410">
        <f>_xlfn.XLOOKUP(A514,INPUT_DATA!$CJ$4:$CJ$397,INPUT_DATA!$CL$4:$CL$397)</f>
        <v>0</v>
      </c>
      <c r="D514" s="411">
        <f>Top20Deb3738[[#This Row],[Principal Outstanding Balance]]/Top20Deb3738[[#Totals],[Principal Outstanding Balance]]</f>
        <v>0</v>
      </c>
      <c r="E514" s="412">
        <f>_xlfn.XLOOKUP(A514,INPUT_DATA!$CJ$4:$CJ$397,INPUT_DATA!$CM$4:$CM$397)</f>
        <v>0</v>
      </c>
      <c r="F514" s="411">
        <f>Top20Deb3738[[#This Row],[Nb of Loans]]/Top20Deb3738[[#Totals],[Nb of Loans]]</f>
        <v>0</v>
      </c>
    </row>
    <row r="515" spans="1:8" x14ac:dyDescent="0.25">
      <c r="A515" s="414" t="s">
        <v>523</v>
      </c>
      <c r="B515" s="409" t="s">
        <v>1369</v>
      </c>
      <c r="C515" s="410">
        <f>_xlfn.XLOOKUP(A515,INPUT_DATA!$CJ$4:$CJ$397,INPUT_DATA!$CL$4:$CL$397)</f>
        <v>0</v>
      </c>
      <c r="D515" s="411">
        <f>Top20Deb3738[[#This Row],[Principal Outstanding Balance]]/Top20Deb3738[[#Totals],[Principal Outstanding Balance]]</f>
        <v>0</v>
      </c>
      <c r="E515" s="412">
        <f>_xlfn.XLOOKUP(A515,INPUT_DATA!$CJ$4:$CJ$397,INPUT_DATA!$CM$4:$CM$397)</f>
        <v>0</v>
      </c>
      <c r="F515" s="411">
        <f>Top20Deb3738[[#This Row],[Nb of Loans]]/Top20Deb3738[[#Totals],[Nb of Loans]]</f>
        <v>0</v>
      </c>
    </row>
    <row r="516" spans="1:8" x14ac:dyDescent="0.25">
      <c r="A516" s="414" t="s">
        <v>1245</v>
      </c>
      <c r="B516" s="409" t="s">
        <v>1370</v>
      </c>
      <c r="C516" s="410">
        <f>_xlfn.XLOOKUP(A516,INPUT_DATA!$CJ$4:$CJ$397,INPUT_DATA!$CL$4:$CL$397)</f>
        <v>0</v>
      </c>
      <c r="D516" s="411">
        <f>Top20Deb3738[[#This Row],[Principal Outstanding Balance]]/Top20Deb3738[[#Totals],[Principal Outstanding Balance]]</f>
        <v>0</v>
      </c>
      <c r="E516" s="412">
        <f>_xlfn.XLOOKUP(A516,INPUT_DATA!$CJ$4:$CJ$397,INPUT_DATA!$CM$4:$CM$397)</f>
        <v>0</v>
      </c>
      <c r="F516" s="411">
        <f>Top20Deb3738[[#This Row],[Nb of Loans]]/Top20Deb3738[[#Totals],[Nb of Loans]]</f>
        <v>0</v>
      </c>
    </row>
    <row r="517" spans="1:8" x14ac:dyDescent="0.25">
      <c r="A517" s="414" t="s">
        <v>1246</v>
      </c>
      <c r="B517" s="409" t="s">
        <v>1371</v>
      </c>
      <c r="C517" s="410">
        <f>_xlfn.XLOOKUP(A517,INPUT_DATA!$CJ$4:$CJ$397,INPUT_DATA!$CL$4:$CL$397)</f>
        <v>0</v>
      </c>
      <c r="D517" s="411">
        <f>Top20Deb3738[[#This Row],[Principal Outstanding Balance]]/Top20Deb3738[[#Totals],[Principal Outstanding Balance]]</f>
        <v>0</v>
      </c>
      <c r="E517" s="412">
        <f>_xlfn.XLOOKUP(A517,INPUT_DATA!$CJ$4:$CJ$397,INPUT_DATA!$CM$4:$CM$397)</f>
        <v>0</v>
      </c>
      <c r="F517" s="411">
        <f>Top20Deb3738[[#This Row],[Nb of Loans]]/Top20Deb3738[[#Totals],[Nb of Loans]]</f>
        <v>0</v>
      </c>
    </row>
    <row r="518" spans="1:8" x14ac:dyDescent="0.25">
      <c r="A518" s="414" t="s">
        <v>1247</v>
      </c>
      <c r="B518" s="409" t="s">
        <v>1270</v>
      </c>
      <c r="C518" s="410">
        <f>_xlfn.XLOOKUP(A518,INPUT_DATA!$CJ$4:$CJ$397,INPUT_DATA!$CL$4:$CL$397)</f>
        <v>400000</v>
      </c>
      <c r="D518" s="411">
        <f>Top20Deb3738[[#This Row],[Principal Outstanding Balance]]/Top20Deb3738[[#Totals],[Principal Outstanding Balance]]</f>
        <v>1.0567736703980017E-3</v>
      </c>
      <c r="E518" s="412">
        <f>_xlfn.XLOOKUP(A518,INPUT_DATA!$CJ$4:$CJ$397,INPUT_DATA!$CM$4:$CM$397)</f>
        <v>1</v>
      </c>
      <c r="F518" s="411">
        <f>Top20Deb3738[[#This Row],[Nb of Loans]]/Top20Deb3738[[#Totals],[Nb of Loans]]</f>
        <v>1.1299435028248588E-3</v>
      </c>
    </row>
    <row r="519" spans="1:8" x14ac:dyDescent="0.25">
      <c r="A519" s="414"/>
      <c r="B519" s="705" t="s">
        <v>2</v>
      </c>
      <c r="C519" s="792">
        <f>SUBTOTAL(109,Top20Deb3738[Principal Outstanding Balance])</f>
        <v>378510565.89000005</v>
      </c>
      <c r="D519" s="793">
        <f>SUBTOTAL(109,Top20Deb3738[% of Total (Amount)])</f>
        <v>0.99999999999999978</v>
      </c>
      <c r="E519" s="794">
        <f>SUBTOTAL(109,Top20Deb3738[Nb of Loans])</f>
        <v>885</v>
      </c>
      <c r="F519" s="793">
        <f>SUBTOTAL(109,Top20Deb3738[% of Total (Number)])</f>
        <v>0.99999999999999833</v>
      </c>
    </row>
    <row r="520" spans="1:8" x14ac:dyDescent="0.25">
      <c r="A520" s="414"/>
      <c r="B520" s="409"/>
      <c r="C520" s="410"/>
      <c r="D520" s="411"/>
      <c r="E520" s="412"/>
      <c r="F520" s="411"/>
      <c r="H520" s="474" t="s">
        <v>654</v>
      </c>
    </row>
  </sheetData>
  <mergeCells count="1">
    <mergeCell ref="B25:C25"/>
  </mergeCells>
  <phoneticPr fontId="159" type="noConversion"/>
  <conditionalFormatting sqref="D46:D53">
    <cfRule type="dataBar" priority="26">
      <dataBar>
        <cfvo type="min"/>
        <cfvo type="max"/>
        <color rgb="FF638EC6"/>
      </dataBar>
      <extLst>
        <ext xmlns:x14="http://schemas.microsoft.com/office/spreadsheetml/2009/9/main" uri="{B025F937-C7B1-47D3-B67F-A62EFF666E3E}">
          <x14:id>{4C8B1D84-6D31-40AF-98BA-E439EADEB14F}</x14:id>
        </ext>
      </extLst>
    </cfRule>
  </conditionalFormatting>
  <conditionalFormatting sqref="D59:D66">
    <cfRule type="dataBar" priority="24">
      <dataBar>
        <cfvo type="min"/>
        <cfvo type="max"/>
        <color rgb="FF638EC6"/>
      </dataBar>
      <extLst>
        <ext xmlns:x14="http://schemas.microsoft.com/office/spreadsheetml/2009/9/main" uri="{B025F937-C7B1-47D3-B67F-A62EFF666E3E}">
          <x14:id>{87B36645-E2C1-45A7-9BA5-884E8E1617E7}</x14:id>
        </ext>
      </extLst>
    </cfRule>
  </conditionalFormatting>
  <conditionalFormatting sqref="D72">
    <cfRule type="dataBar" priority="23">
      <dataBar>
        <cfvo type="min"/>
        <cfvo type="max"/>
        <color rgb="FF638EC6"/>
      </dataBar>
      <extLst>
        <ext xmlns:x14="http://schemas.microsoft.com/office/spreadsheetml/2009/9/main" uri="{B025F937-C7B1-47D3-B67F-A62EFF666E3E}">
          <x14:id>{D10C7C38-A443-47E0-9675-858CFE738CCB}</x14:id>
        </ext>
      </extLst>
    </cfRule>
  </conditionalFormatting>
  <conditionalFormatting sqref="D72:D77">
    <cfRule type="dataBar" priority="22">
      <dataBar>
        <cfvo type="min"/>
        <cfvo type="max"/>
        <color rgb="FF638EC6"/>
      </dataBar>
      <extLst>
        <ext xmlns:x14="http://schemas.microsoft.com/office/spreadsheetml/2009/9/main" uri="{B025F937-C7B1-47D3-B67F-A62EFF666E3E}">
          <x14:id>{02641AFA-7EBC-415C-B6DD-754653F6AC42}</x14:id>
        </ext>
      </extLst>
    </cfRule>
  </conditionalFormatting>
  <conditionalFormatting sqref="D83:D88">
    <cfRule type="dataBar" priority="20">
      <dataBar>
        <cfvo type="min"/>
        <cfvo type="max"/>
        <color rgb="FF638EC6"/>
      </dataBar>
      <extLst>
        <ext xmlns:x14="http://schemas.microsoft.com/office/spreadsheetml/2009/9/main" uri="{B025F937-C7B1-47D3-B67F-A62EFF666E3E}">
          <x14:id>{EDAAB587-73CB-4271-B1D2-CF917D800639}</x14:id>
        </ext>
      </extLst>
    </cfRule>
  </conditionalFormatting>
  <conditionalFormatting sqref="D94:D100">
    <cfRule type="dataBar" priority="18">
      <dataBar>
        <cfvo type="min"/>
        <cfvo type="max"/>
        <color rgb="FF638EC6"/>
      </dataBar>
      <extLst>
        <ext xmlns:x14="http://schemas.microsoft.com/office/spreadsheetml/2009/9/main" uri="{B025F937-C7B1-47D3-B67F-A62EFF666E3E}">
          <x14:id>{82021754-B762-4139-B5C1-4F70044988D6}</x14:id>
        </ext>
      </extLst>
    </cfRule>
  </conditionalFormatting>
  <conditionalFormatting sqref="D106:D126">
    <cfRule type="dataBar" priority="17">
      <dataBar>
        <cfvo type="min"/>
        <cfvo type="max"/>
        <color rgb="FF638EC6"/>
      </dataBar>
      <extLst>
        <ext xmlns:x14="http://schemas.microsoft.com/office/spreadsheetml/2009/9/main" uri="{B025F937-C7B1-47D3-B67F-A62EFF666E3E}">
          <x14:id>{7F71A429-D46F-4DDE-A06E-2C25DACB2D5F}</x14:id>
        </ext>
      </extLst>
    </cfRule>
  </conditionalFormatting>
  <conditionalFormatting sqref="D132:D137">
    <cfRule type="dataBar" priority="16">
      <dataBar>
        <cfvo type="min"/>
        <cfvo type="max"/>
        <color rgb="FF638EC6"/>
      </dataBar>
      <extLst>
        <ext xmlns:x14="http://schemas.microsoft.com/office/spreadsheetml/2009/9/main" uri="{B025F937-C7B1-47D3-B67F-A62EFF666E3E}">
          <x14:id>{50B77AC6-E2D1-4028-BBE7-4335330A956B}</x14:id>
        </ext>
      </extLst>
    </cfRule>
  </conditionalFormatting>
  <conditionalFormatting sqref="D143:D155">
    <cfRule type="dataBar" priority="15">
      <dataBar>
        <cfvo type="min"/>
        <cfvo type="max"/>
        <color rgb="FF638EC6"/>
      </dataBar>
      <extLst>
        <ext xmlns:x14="http://schemas.microsoft.com/office/spreadsheetml/2009/9/main" uri="{B025F937-C7B1-47D3-B67F-A62EFF666E3E}">
          <x14:id>{0F0CFBD2-98B3-4BAC-B6C2-B4EA83B868EA}</x14:id>
        </ext>
      </extLst>
    </cfRule>
  </conditionalFormatting>
  <conditionalFormatting sqref="D161:D164">
    <cfRule type="dataBar" priority="14">
      <dataBar>
        <cfvo type="min"/>
        <cfvo type="max"/>
        <color rgb="FF638EC6"/>
      </dataBar>
      <extLst>
        <ext xmlns:x14="http://schemas.microsoft.com/office/spreadsheetml/2009/9/main" uri="{B025F937-C7B1-47D3-B67F-A62EFF666E3E}">
          <x14:id>{07E56FEB-0457-4ACE-A397-AAF0E6A5A88B}</x14:id>
        </ext>
      </extLst>
    </cfRule>
  </conditionalFormatting>
  <conditionalFormatting sqref="D170:D180">
    <cfRule type="dataBar" priority="13">
      <dataBar>
        <cfvo type="min"/>
        <cfvo type="max"/>
        <color rgb="FF638EC6"/>
      </dataBar>
      <extLst>
        <ext xmlns:x14="http://schemas.microsoft.com/office/spreadsheetml/2009/9/main" uri="{B025F937-C7B1-47D3-B67F-A62EFF666E3E}">
          <x14:id>{2CC3CC5C-BA29-44D3-BF42-CD495335D585}</x14:id>
        </ext>
      </extLst>
    </cfRule>
  </conditionalFormatting>
  <conditionalFormatting sqref="D186:D196">
    <cfRule type="dataBar" priority="12">
      <dataBar>
        <cfvo type="min"/>
        <cfvo type="max"/>
        <color rgb="FF638EC6"/>
      </dataBar>
      <extLst>
        <ext xmlns:x14="http://schemas.microsoft.com/office/spreadsheetml/2009/9/main" uri="{B025F937-C7B1-47D3-B67F-A62EFF666E3E}">
          <x14:id>{CDD3486B-A33C-43B8-A9D2-2CDFB9AF8D05}</x14:id>
        </ext>
      </extLst>
    </cfRule>
  </conditionalFormatting>
  <conditionalFormatting sqref="D202:D212">
    <cfRule type="dataBar" priority="11">
      <dataBar>
        <cfvo type="min"/>
        <cfvo type="max"/>
        <color rgb="FF638EC6"/>
      </dataBar>
      <extLst>
        <ext xmlns:x14="http://schemas.microsoft.com/office/spreadsheetml/2009/9/main" uri="{B025F937-C7B1-47D3-B67F-A62EFF666E3E}">
          <x14:id>{FE95A87C-FFFB-4D05-BFF1-E5FC6B1F0C47}</x14:id>
        </ext>
      </extLst>
    </cfRule>
  </conditionalFormatting>
  <conditionalFormatting sqref="D218:D228">
    <cfRule type="dataBar" priority="10">
      <dataBar>
        <cfvo type="min"/>
        <cfvo type="max"/>
        <color rgb="FF638EC6"/>
      </dataBar>
      <extLst>
        <ext xmlns:x14="http://schemas.microsoft.com/office/spreadsheetml/2009/9/main" uri="{B025F937-C7B1-47D3-B67F-A62EFF666E3E}">
          <x14:id>{DB2BFDE1-2701-4249-8EB5-D241D23B347A}</x14:id>
        </ext>
      </extLst>
    </cfRule>
  </conditionalFormatting>
  <conditionalFormatting sqref="D234:D244">
    <cfRule type="dataBar" priority="9">
      <dataBar>
        <cfvo type="min"/>
        <cfvo type="max"/>
        <color rgb="FF638EC6"/>
      </dataBar>
      <extLst>
        <ext xmlns:x14="http://schemas.microsoft.com/office/spreadsheetml/2009/9/main" uri="{B025F937-C7B1-47D3-B67F-A62EFF666E3E}">
          <x14:id>{DB4D36FB-7E09-46D6-9778-039214DF8EA5}</x14:id>
        </ext>
      </extLst>
    </cfRule>
  </conditionalFormatting>
  <conditionalFormatting sqref="D250:D254">
    <cfRule type="dataBar" priority="8">
      <dataBar>
        <cfvo type="min"/>
        <cfvo type="max"/>
        <color rgb="FF638EC6"/>
      </dataBar>
      <extLst>
        <ext xmlns:x14="http://schemas.microsoft.com/office/spreadsheetml/2009/9/main" uri="{B025F937-C7B1-47D3-B67F-A62EFF666E3E}">
          <x14:id>{22004500-86E4-476D-A9CA-BF7B835927D4}</x14:id>
        </ext>
      </extLst>
    </cfRule>
  </conditionalFormatting>
  <conditionalFormatting sqref="D260:D264">
    <cfRule type="dataBar" priority="7">
      <dataBar>
        <cfvo type="min"/>
        <cfvo type="max"/>
        <color rgb="FF638EC6"/>
      </dataBar>
      <extLst>
        <ext xmlns:x14="http://schemas.microsoft.com/office/spreadsheetml/2009/9/main" uri="{B025F937-C7B1-47D3-B67F-A62EFF666E3E}">
          <x14:id>{18D963E4-1ECA-46B9-94CD-0EFAE0BF4662}</x14:id>
        </ext>
      </extLst>
    </cfRule>
  </conditionalFormatting>
  <conditionalFormatting sqref="D270:D279">
    <cfRule type="dataBar" priority="6">
      <dataBar>
        <cfvo type="min"/>
        <cfvo type="max"/>
        <color rgb="FF638EC6"/>
      </dataBar>
      <extLst>
        <ext xmlns:x14="http://schemas.microsoft.com/office/spreadsheetml/2009/9/main" uri="{B025F937-C7B1-47D3-B67F-A62EFF666E3E}">
          <x14:id>{7663B44A-BD5F-488F-9BD5-A024FC27C955}</x14:id>
        </ext>
      </extLst>
    </cfRule>
  </conditionalFormatting>
  <conditionalFormatting sqref="D285:D304">
    <cfRule type="dataBar" priority="3">
      <dataBar>
        <cfvo type="min"/>
        <cfvo type="max"/>
        <color rgb="FF638EC6"/>
      </dataBar>
      <extLst>
        <ext xmlns:x14="http://schemas.microsoft.com/office/spreadsheetml/2009/9/main" uri="{B025F937-C7B1-47D3-B67F-A62EFF666E3E}">
          <x14:id>{1407DEFA-948A-4A83-98BF-A9E4F6BBB338}</x14:id>
        </ext>
      </extLst>
    </cfRule>
  </conditionalFormatting>
  <conditionalFormatting sqref="D310:D411">
    <cfRule type="dataBar" priority="2">
      <dataBar>
        <cfvo type="min"/>
        <cfvo type="max"/>
        <color rgb="FF638EC6"/>
      </dataBar>
      <extLst>
        <ext xmlns:x14="http://schemas.microsoft.com/office/spreadsheetml/2009/9/main" uri="{B025F937-C7B1-47D3-B67F-A62EFF666E3E}">
          <x14:id>{E52227FD-804B-4F47-9074-84B84F855798}</x14:id>
        </ext>
      </extLst>
    </cfRule>
  </conditionalFormatting>
  <conditionalFormatting sqref="D417:D518">
    <cfRule type="dataBar" priority="1">
      <dataBar>
        <cfvo type="min"/>
        <cfvo type="max"/>
        <color rgb="FF638EC6"/>
      </dataBar>
      <extLst>
        <ext xmlns:x14="http://schemas.microsoft.com/office/spreadsheetml/2009/9/main" uri="{B025F937-C7B1-47D3-B67F-A62EFF666E3E}">
          <x14:id>{BABB7D44-1D8E-4E39-A400-6196FDF1A9F9}</x14:id>
        </ext>
      </extLst>
    </cfRule>
  </conditionalFormatting>
  <hyperlinks>
    <hyperlink ref="B12" location="Summary" display="Summary Statistics" xr:uid="{3A9176DB-02D9-4FF3-A91E-C24A71C289A0}"/>
    <hyperlink ref="B13" location="'07 - Breakdown Statistics'!A1" display="1. Breakdown by Principal Outstanding Balance" xr:uid="{2F1818B5-D6CA-4A3F-A7A8-1007EC7D7D3D}"/>
    <hyperlink ref="B14" location="'07 - Breakdown Statistics'!A1" display="2. Breakdown by Principal Original Balance" xr:uid="{BC8F6B94-DB0E-48E7-94B4-8ECF141C07C8}"/>
    <hyperlink ref="B15" location="'Breakdown Statistics'!B78" display="3. Breakdown by Seasoning" xr:uid="{7866E37F-73BB-44F0-8B0B-30CB76A960B2}"/>
    <hyperlink ref="B16" location="'Breakdown Statistics'!B89" display="4. Breakdown by Remaining Term to Maturity" xr:uid="{B7ABC129-407E-4380-81D9-59A953A0E239}"/>
    <hyperlink ref="H41" location="'07 - Breakdown Statistics'!A1" display="&gt;&gt; Up" xr:uid="{0E66524D-AC7E-4B7F-A313-4086D44CC864}"/>
    <hyperlink ref="H68" location="'Breakdown Statistics'!A1" display="&gt;&gt; Up" xr:uid="{4A0E6724-F8D6-4E49-9C66-D22619C449BE}"/>
    <hyperlink ref="H79" location="'Breakdown Statistics'!A1" display="&gt;&gt; Up" xr:uid="{78F66F4C-0F42-4F8E-8175-D0329180BBDD}"/>
    <hyperlink ref="H90" location="'Breakdown Statistics'!A1" display="&gt;&gt; Up" xr:uid="{65FECBC8-F311-470F-8ADF-6BD2290879E0}"/>
    <hyperlink ref="H128" location="'Breakdown Statistics'!A1" display="&gt;&gt; Up" xr:uid="{F5B6ED42-F957-47DF-8A9B-7A3C27B5ABF5}"/>
    <hyperlink ref="H139" location="'Breakdown Statistics'!A1" display="&gt;&gt; Up" xr:uid="{61A990D2-411D-4F31-B795-DC6EC101FFD9}"/>
    <hyperlink ref="H157" location="'Breakdown Statistics'!A1" display="&gt;&gt; Up" xr:uid="{087AC763-B63A-4BFB-B8ED-B6A828B38CA7}"/>
    <hyperlink ref="H198" location="'Breakdown Statistics'!A1" display="&gt;&gt; Up" xr:uid="{387663DC-248E-4981-942A-EF089F03C588}"/>
    <hyperlink ref="H214" location="'Breakdown Statistics'!A1" display="&gt;&gt; Up" xr:uid="{8A7F87E9-4829-47D9-A794-06F5898B965C}"/>
    <hyperlink ref="H256" location="'Breakdown Statistics'!A1" display="&gt;&gt; Up" xr:uid="{8E5F2C16-0137-4B89-A772-1EA20054A515}"/>
    <hyperlink ref="H306" location="'Breakdown Statistics'!A1" display="&gt;&gt; Up" xr:uid="{08DEFC00-01AA-45EC-99DA-BAAD0BD1C8EB}"/>
    <hyperlink ref="B17" location="'Breakdown Statistics'!B101" display="5. Breakdown by Original Term to Maturity" xr:uid="{D48B03EF-9217-4149-B207-3CE3A2ABD89D}"/>
    <hyperlink ref="H55" location="'Breakdown Statistics'!A1" display="&gt;&gt; Up" xr:uid="{EB6A7D1A-5B37-4519-94CF-76DF4650B557}"/>
    <hyperlink ref="H102" location="'Breakdown Statistics'!A1" display="&gt;&gt; Up" xr:uid="{861C85B6-0461-4108-8749-59162D67E14D}"/>
    <hyperlink ref="H166" location="'Breakdown Statistics'!A1" display="&gt;&gt; Up" xr:uid="{024885C4-D633-4380-99FE-5DA959756E3D}"/>
    <hyperlink ref="H182" location="'Breakdown Statistics'!A1" display="&gt;&gt; Up" xr:uid="{9602A376-89BD-4CD5-AC3A-127BA86FC166}"/>
    <hyperlink ref="H230" location="'Breakdown Statistics'!A1" display="&gt;&gt; Up" xr:uid="{91BB1FA3-8BBF-43D5-85D4-A76CD1EBFC6B}"/>
    <hyperlink ref="H246" location="'07 - Breakdown Statistics'!A1" display="&gt;&gt; Up" xr:uid="{C0989267-0940-4752-A3CA-AA9DCE7849CA}"/>
    <hyperlink ref="H266" location="'Breakdown Statistics'!A1" display="&gt;&gt; Up" xr:uid="{3526D354-2B59-4E4A-81AE-B15E037E922C}"/>
    <hyperlink ref="H281" location="'Breakdown Statistics'!A1" display="&gt;&gt; Up" xr:uid="{2B4F04F5-5C83-4270-A027-38665E2A56C3}"/>
    <hyperlink ref="H413" location="'Breakdown Statistics'!A1" display="&gt;&gt; Up" xr:uid="{36071401-06A1-4291-B80A-1A232670A9C8}"/>
    <hyperlink ref="H520" location="'Breakdown Statistics'!A1" display="&gt;&gt; Up" xr:uid="{B4C73898-B41C-44D2-A4DD-8501B9A8733E}"/>
    <hyperlink ref="B19" location="'Breakdown Statistics'!B138" display="7. Breakdown by Interest Rate" xr:uid="{4FAD590A-B7D6-4BF3-9A05-C69B92CD76BB}"/>
    <hyperlink ref="B20" location="'Breakdown Statistics'!B156" display="8. Breakdown by Interest Rate Type" xr:uid="{129F83D5-1683-4B4C-8975-8B0B35437179}"/>
    <hyperlink ref="B18" location="'Breakdown Statistics'!B127" display="6. Breakdown by Year of Origination" xr:uid="{7753FBF9-00DB-4FF7-82EF-304915167C48}"/>
    <hyperlink ref="C13" location="'Breakdown Statistics'!B197" display="11. Breakdown by Original Loan-to-Value" xr:uid="{76CB05D3-A839-48C9-904A-789E5D4F42D2}"/>
    <hyperlink ref="B21" location="'Breakdown Statistics'!B165" display="9. Breakdown by Guarantee Provider" xr:uid="{69206EEB-125B-4628-8203-D22FDE5D0709}"/>
    <hyperlink ref="B22" location="'Breakdown Statistics'!B181" display="10. Breakdown by Current Loan-to-Value" xr:uid="{2206368B-A288-4FC2-8006-EB1F53D9AFAA}"/>
    <hyperlink ref="C14" location="'Breakdown Statistics'!B213" display="12. Current Loan-to-Value (Mortgages)" xr:uid="{0922F1CA-552E-41A5-B058-F2AD1D98E18A}"/>
    <hyperlink ref="C15" location="'Breakdown Statistics'!B229" display="13.  Breakdown by Original Loan-to-Value (Mortgages)" xr:uid="{0F989B00-4E31-4A9F-B535-B592DC5766E1}"/>
    <hyperlink ref="C16" location="'Breakdown Statistics'!B244" display="14. Breakdown by Loan Purpose" xr:uid="{C6CE9539-0BD0-4F63-806C-28C451346274}"/>
    <hyperlink ref="C17" location="'Breakdown Statistics'!B254" display="15. Breakdown by Amortisation Type" xr:uid="{2F7AA656-9B48-4E3E-B47D-CA771335B01D}"/>
    <hyperlink ref="C18" location="'Breakdown Statistics'!B264" display="16. Breakdown by Payment Frequency" xr:uid="{92D7D48F-4340-4961-B272-8005E102CC92}"/>
    <hyperlink ref="C19" location="'Breakdown Statistics'!B279" display="17. Breakdown by Employment Type" xr:uid="{57F8DB66-A1C3-4308-8B99-808503FD9924}"/>
    <hyperlink ref="C20" location="'Breakdown Statistics'!B304" display="18. Top 20 Borrowers" xr:uid="{984CDFD0-15C6-46AE-9927-7B28C6EADDAF}"/>
    <hyperlink ref="C21" location="'Breakdown Statistics'!B411" display="19. Breakdown by Property Department" xr:uid="{DE73AD39-1796-4938-9E56-5B2011E092AB}"/>
    <hyperlink ref="C22" location="'Breakdown Statistics'!B517" display="20. Breakdown by Property Department (Mortgages)" xr:uid="{15A4A6FF-16D5-4A40-9A39-8CD771EB43F7}"/>
  </hyperlinks>
  <pageMargins left="0.7" right="0.7" top="0.75" bottom="0.75" header="0.3" footer="0.3"/>
  <pageSetup paperSize="9" orientation="portrait" r:id="rId1"/>
  <ignoredErrors>
    <ignoredError sqref="A118:A126 A155" twoDigitTextYear="1"/>
  </ignoredErrors>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dataBar" id="{4C8B1D84-6D31-40AF-98BA-E439EADEB14F}">
            <x14:dataBar minLength="0" maxLength="100" border="1" negativeBarBorderColorSameAsPositive="0">
              <x14:cfvo type="autoMin"/>
              <x14:cfvo type="autoMax"/>
              <x14:borderColor rgb="FF638EC6"/>
              <x14:negativeFillColor rgb="FFFF0000"/>
              <x14:negativeBorderColor rgb="FFFF0000"/>
              <x14:axisColor rgb="FF000000"/>
            </x14:dataBar>
          </x14:cfRule>
          <xm:sqref>D46:D53</xm:sqref>
        </x14:conditionalFormatting>
        <x14:conditionalFormatting xmlns:xm="http://schemas.microsoft.com/office/excel/2006/main">
          <x14:cfRule type="dataBar" id="{87B36645-E2C1-45A7-9BA5-884E8E1617E7}">
            <x14:dataBar minLength="0" maxLength="100" border="1" negativeBarBorderColorSameAsPositive="0">
              <x14:cfvo type="autoMin"/>
              <x14:cfvo type="autoMax"/>
              <x14:borderColor rgb="FF638EC6"/>
              <x14:negativeFillColor rgb="FFFF0000"/>
              <x14:negativeBorderColor rgb="FFFF0000"/>
              <x14:axisColor rgb="FF000000"/>
            </x14:dataBar>
          </x14:cfRule>
          <xm:sqref>D59:D66</xm:sqref>
        </x14:conditionalFormatting>
        <x14:conditionalFormatting xmlns:xm="http://schemas.microsoft.com/office/excel/2006/main">
          <x14:cfRule type="dataBar" id="{D10C7C38-A443-47E0-9675-858CFE738CCB}">
            <x14:dataBar minLength="0" maxLength="100" border="1" negativeBarBorderColorSameAsPositive="0">
              <x14:cfvo type="autoMin"/>
              <x14:cfvo type="autoMax"/>
              <x14:borderColor rgb="FF638EC6"/>
              <x14:negativeFillColor rgb="FFFF0000"/>
              <x14:negativeBorderColor rgb="FFFF0000"/>
              <x14:axisColor rgb="FF000000"/>
            </x14:dataBar>
          </x14:cfRule>
          <xm:sqref>D72</xm:sqref>
        </x14:conditionalFormatting>
        <x14:conditionalFormatting xmlns:xm="http://schemas.microsoft.com/office/excel/2006/main">
          <x14:cfRule type="dataBar" id="{02641AFA-7EBC-415C-B6DD-754653F6AC42}">
            <x14:dataBar minLength="0" maxLength="100" border="1" negativeBarBorderColorSameAsPositive="0">
              <x14:cfvo type="autoMin"/>
              <x14:cfvo type="autoMax"/>
              <x14:borderColor rgb="FF638EC6"/>
              <x14:negativeFillColor rgb="FFFF0000"/>
              <x14:negativeBorderColor rgb="FFFF0000"/>
              <x14:axisColor rgb="FF000000"/>
            </x14:dataBar>
          </x14:cfRule>
          <xm:sqref>D72:D77</xm:sqref>
        </x14:conditionalFormatting>
        <x14:conditionalFormatting xmlns:xm="http://schemas.microsoft.com/office/excel/2006/main">
          <x14:cfRule type="dataBar" id="{EDAAB587-73CB-4271-B1D2-CF917D800639}">
            <x14:dataBar minLength="0" maxLength="100" border="1" negativeBarBorderColorSameAsPositive="0">
              <x14:cfvo type="autoMin"/>
              <x14:cfvo type="autoMax"/>
              <x14:borderColor rgb="FF638EC6"/>
              <x14:negativeFillColor rgb="FFFF0000"/>
              <x14:negativeBorderColor rgb="FFFF0000"/>
              <x14:axisColor rgb="FF000000"/>
            </x14:dataBar>
          </x14:cfRule>
          <xm:sqref>D83:D88</xm:sqref>
        </x14:conditionalFormatting>
        <x14:conditionalFormatting xmlns:xm="http://schemas.microsoft.com/office/excel/2006/main">
          <x14:cfRule type="dataBar" id="{82021754-B762-4139-B5C1-4F70044988D6}">
            <x14:dataBar minLength="0" maxLength="100" border="1" negativeBarBorderColorSameAsPositive="0">
              <x14:cfvo type="autoMin"/>
              <x14:cfvo type="autoMax"/>
              <x14:borderColor rgb="FF638EC6"/>
              <x14:negativeFillColor rgb="FFFF0000"/>
              <x14:negativeBorderColor rgb="FFFF0000"/>
              <x14:axisColor rgb="FF000000"/>
            </x14:dataBar>
          </x14:cfRule>
          <xm:sqref>D94:D100</xm:sqref>
        </x14:conditionalFormatting>
        <x14:conditionalFormatting xmlns:xm="http://schemas.microsoft.com/office/excel/2006/main">
          <x14:cfRule type="dataBar" id="{7F71A429-D46F-4DDE-A06E-2C25DACB2D5F}">
            <x14:dataBar minLength="0" maxLength="100" border="1" negativeBarBorderColorSameAsPositive="0">
              <x14:cfvo type="autoMin"/>
              <x14:cfvo type="autoMax"/>
              <x14:borderColor rgb="FF638EC6"/>
              <x14:negativeFillColor rgb="FFFF0000"/>
              <x14:negativeBorderColor rgb="FFFF0000"/>
              <x14:axisColor rgb="FF000000"/>
            </x14:dataBar>
          </x14:cfRule>
          <xm:sqref>D106:D126</xm:sqref>
        </x14:conditionalFormatting>
        <x14:conditionalFormatting xmlns:xm="http://schemas.microsoft.com/office/excel/2006/main">
          <x14:cfRule type="dataBar" id="{50B77AC6-E2D1-4028-BBE7-4335330A956B}">
            <x14:dataBar minLength="0" maxLength="100" border="1" negativeBarBorderColorSameAsPositive="0">
              <x14:cfvo type="autoMin"/>
              <x14:cfvo type="autoMax"/>
              <x14:borderColor rgb="FF638EC6"/>
              <x14:negativeFillColor rgb="FFFF0000"/>
              <x14:negativeBorderColor rgb="FFFF0000"/>
              <x14:axisColor rgb="FF000000"/>
            </x14:dataBar>
          </x14:cfRule>
          <xm:sqref>D132:D137</xm:sqref>
        </x14:conditionalFormatting>
        <x14:conditionalFormatting xmlns:xm="http://schemas.microsoft.com/office/excel/2006/main">
          <x14:cfRule type="dataBar" id="{0F0CFBD2-98B3-4BAC-B6C2-B4EA83B868EA}">
            <x14:dataBar minLength="0" maxLength="100" border="1" negativeBarBorderColorSameAsPositive="0">
              <x14:cfvo type="autoMin"/>
              <x14:cfvo type="autoMax"/>
              <x14:borderColor rgb="FF638EC6"/>
              <x14:negativeFillColor rgb="FFFF0000"/>
              <x14:negativeBorderColor rgb="FFFF0000"/>
              <x14:axisColor rgb="FF000000"/>
            </x14:dataBar>
          </x14:cfRule>
          <xm:sqref>D143:D155</xm:sqref>
        </x14:conditionalFormatting>
        <x14:conditionalFormatting xmlns:xm="http://schemas.microsoft.com/office/excel/2006/main">
          <x14:cfRule type="dataBar" id="{07E56FEB-0457-4ACE-A397-AAF0E6A5A88B}">
            <x14:dataBar minLength="0" maxLength="100" border="1" negativeBarBorderColorSameAsPositive="0">
              <x14:cfvo type="autoMin"/>
              <x14:cfvo type="autoMax"/>
              <x14:borderColor rgb="FF638EC6"/>
              <x14:negativeFillColor rgb="FFFF0000"/>
              <x14:negativeBorderColor rgb="FFFF0000"/>
              <x14:axisColor rgb="FF000000"/>
            </x14:dataBar>
          </x14:cfRule>
          <xm:sqref>D161:D164</xm:sqref>
        </x14:conditionalFormatting>
        <x14:conditionalFormatting xmlns:xm="http://schemas.microsoft.com/office/excel/2006/main">
          <x14:cfRule type="dataBar" id="{2CC3CC5C-BA29-44D3-BF42-CD495335D585}">
            <x14:dataBar minLength="0" maxLength="100" border="1" negativeBarBorderColorSameAsPositive="0">
              <x14:cfvo type="autoMin"/>
              <x14:cfvo type="autoMax"/>
              <x14:borderColor rgb="FF638EC6"/>
              <x14:negativeFillColor rgb="FFFF0000"/>
              <x14:negativeBorderColor rgb="FFFF0000"/>
              <x14:axisColor rgb="FF000000"/>
            </x14:dataBar>
          </x14:cfRule>
          <xm:sqref>D170:D180</xm:sqref>
        </x14:conditionalFormatting>
        <x14:conditionalFormatting xmlns:xm="http://schemas.microsoft.com/office/excel/2006/main">
          <x14:cfRule type="dataBar" id="{CDD3486B-A33C-43B8-A9D2-2CDFB9AF8D05}">
            <x14:dataBar minLength="0" maxLength="100" border="1" negativeBarBorderColorSameAsPositive="0">
              <x14:cfvo type="autoMin"/>
              <x14:cfvo type="autoMax"/>
              <x14:borderColor rgb="FF638EC6"/>
              <x14:negativeFillColor rgb="FFFF0000"/>
              <x14:negativeBorderColor rgb="FFFF0000"/>
              <x14:axisColor rgb="FF000000"/>
            </x14:dataBar>
          </x14:cfRule>
          <xm:sqref>D186:D196</xm:sqref>
        </x14:conditionalFormatting>
        <x14:conditionalFormatting xmlns:xm="http://schemas.microsoft.com/office/excel/2006/main">
          <x14:cfRule type="dataBar" id="{FE95A87C-FFFB-4D05-BFF1-E5FC6B1F0C47}">
            <x14:dataBar minLength="0" maxLength="100" border="1" negativeBarBorderColorSameAsPositive="0">
              <x14:cfvo type="autoMin"/>
              <x14:cfvo type="autoMax"/>
              <x14:borderColor rgb="FF638EC6"/>
              <x14:negativeFillColor rgb="FFFF0000"/>
              <x14:negativeBorderColor rgb="FFFF0000"/>
              <x14:axisColor rgb="FF000000"/>
            </x14:dataBar>
          </x14:cfRule>
          <xm:sqref>D202:D212</xm:sqref>
        </x14:conditionalFormatting>
        <x14:conditionalFormatting xmlns:xm="http://schemas.microsoft.com/office/excel/2006/main">
          <x14:cfRule type="dataBar" id="{DB2BFDE1-2701-4249-8EB5-D241D23B347A}">
            <x14:dataBar minLength="0" maxLength="100" border="1" negativeBarBorderColorSameAsPositive="0">
              <x14:cfvo type="autoMin"/>
              <x14:cfvo type="autoMax"/>
              <x14:borderColor rgb="FF638EC6"/>
              <x14:negativeFillColor rgb="FFFF0000"/>
              <x14:negativeBorderColor rgb="FFFF0000"/>
              <x14:axisColor rgb="FF000000"/>
            </x14:dataBar>
          </x14:cfRule>
          <xm:sqref>D218:D228</xm:sqref>
        </x14:conditionalFormatting>
        <x14:conditionalFormatting xmlns:xm="http://schemas.microsoft.com/office/excel/2006/main">
          <x14:cfRule type="dataBar" id="{DB4D36FB-7E09-46D6-9778-039214DF8EA5}">
            <x14:dataBar minLength="0" maxLength="100" border="1" negativeBarBorderColorSameAsPositive="0">
              <x14:cfvo type="autoMin"/>
              <x14:cfvo type="autoMax"/>
              <x14:borderColor rgb="FF638EC6"/>
              <x14:negativeFillColor rgb="FFFF0000"/>
              <x14:negativeBorderColor rgb="FFFF0000"/>
              <x14:axisColor rgb="FF000000"/>
            </x14:dataBar>
          </x14:cfRule>
          <xm:sqref>D234:D244</xm:sqref>
        </x14:conditionalFormatting>
        <x14:conditionalFormatting xmlns:xm="http://schemas.microsoft.com/office/excel/2006/main">
          <x14:cfRule type="dataBar" id="{22004500-86E4-476D-A9CA-BF7B835927D4}">
            <x14:dataBar minLength="0" maxLength="100" border="1" negativeBarBorderColorSameAsPositive="0">
              <x14:cfvo type="autoMin"/>
              <x14:cfvo type="autoMax"/>
              <x14:borderColor rgb="FF638EC6"/>
              <x14:negativeFillColor rgb="FFFF0000"/>
              <x14:negativeBorderColor rgb="FFFF0000"/>
              <x14:axisColor rgb="FF000000"/>
            </x14:dataBar>
          </x14:cfRule>
          <xm:sqref>D250:D254</xm:sqref>
        </x14:conditionalFormatting>
        <x14:conditionalFormatting xmlns:xm="http://schemas.microsoft.com/office/excel/2006/main">
          <x14:cfRule type="dataBar" id="{18D963E4-1ECA-46B9-94CD-0EFAE0BF4662}">
            <x14:dataBar minLength="0" maxLength="100" border="1" negativeBarBorderColorSameAsPositive="0">
              <x14:cfvo type="autoMin"/>
              <x14:cfvo type="autoMax"/>
              <x14:borderColor rgb="FF638EC6"/>
              <x14:negativeFillColor rgb="FFFF0000"/>
              <x14:negativeBorderColor rgb="FFFF0000"/>
              <x14:axisColor rgb="FF000000"/>
            </x14:dataBar>
          </x14:cfRule>
          <xm:sqref>D260:D264</xm:sqref>
        </x14:conditionalFormatting>
        <x14:conditionalFormatting xmlns:xm="http://schemas.microsoft.com/office/excel/2006/main">
          <x14:cfRule type="dataBar" id="{7663B44A-BD5F-488F-9BD5-A024FC27C955}">
            <x14:dataBar minLength="0" maxLength="100" border="1" negativeBarBorderColorSameAsPositive="0">
              <x14:cfvo type="autoMin"/>
              <x14:cfvo type="autoMax"/>
              <x14:borderColor rgb="FF638EC6"/>
              <x14:negativeFillColor rgb="FFFF0000"/>
              <x14:negativeBorderColor rgb="FFFF0000"/>
              <x14:axisColor rgb="FF000000"/>
            </x14:dataBar>
          </x14:cfRule>
          <xm:sqref>D270:D279</xm:sqref>
        </x14:conditionalFormatting>
        <x14:conditionalFormatting xmlns:xm="http://schemas.microsoft.com/office/excel/2006/main">
          <x14:cfRule type="dataBar" id="{1407DEFA-948A-4A83-98BF-A9E4F6BBB338}">
            <x14:dataBar minLength="0" maxLength="100" border="1" negativeBarBorderColorSameAsPositive="0">
              <x14:cfvo type="autoMin"/>
              <x14:cfvo type="autoMax"/>
              <x14:borderColor rgb="FF638EC6"/>
              <x14:negativeFillColor rgb="FFFF0000"/>
              <x14:negativeBorderColor rgb="FFFF0000"/>
              <x14:axisColor rgb="FF000000"/>
            </x14:dataBar>
          </x14:cfRule>
          <xm:sqref>D285:D304</xm:sqref>
        </x14:conditionalFormatting>
        <x14:conditionalFormatting xmlns:xm="http://schemas.microsoft.com/office/excel/2006/main">
          <x14:cfRule type="dataBar" id="{E52227FD-804B-4F47-9074-84B84F855798}">
            <x14:dataBar minLength="0" maxLength="100" border="1" negativeBarBorderColorSameAsPositive="0">
              <x14:cfvo type="autoMin"/>
              <x14:cfvo type="autoMax"/>
              <x14:borderColor rgb="FF638EC6"/>
              <x14:negativeFillColor rgb="FFFF0000"/>
              <x14:negativeBorderColor rgb="FFFF0000"/>
              <x14:axisColor rgb="FF000000"/>
            </x14:dataBar>
          </x14:cfRule>
          <xm:sqref>D310:D411</xm:sqref>
        </x14:conditionalFormatting>
        <x14:conditionalFormatting xmlns:xm="http://schemas.microsoft.com/office/excel/2006/main">
          <x14:cfRule type="dataBar" id="{BABB7D44-1D8E-4E39-A400-6196FDF1A9F9}">
            <x14:dataBar minLength="0" maxLength="100" border="1" negativeBarBorderColorSameAsPositive="0">
              <x14:cfvo type="autoMin"/>
              <x14:cfvo type="autoMax"/>
              <x14:borderColor rgb="FF638EC6"/>
              <x14:negativeFillColor rgb="FFFF0000"/>
              <x14:negativeBorderColor rgb="FFFF0000"/>
              <x14:axisColor rgb="FF000000"/>
            </x14:dataBar>
          </x14:cfRule>
          <xm:sqref>D417:D518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15</vt:i4>
      </vt:variant>
    </vt:vector>
  </HeadingPairs>
  <TitlesOfParts>
    <vt:vector size="41" baseType="lpstr">
      <vt:lpstr>00 - Cover</vt:lpstr>
      <vt:lpstr>Controle</vt:lpstr>
      <vt:lpstr>01 - Summary</vt:lpstr>
      <vt:lpstr>02 - Eligibility Criteria</vt:lpstr>
      <vt:lpstr>03 - Monthly Asset Follow up</vt:lpstr>
      <vt:lpstr>04 - Monthly Collection</vt:lpstr>
      <vt:lpstr>05 - Prepayment Rate</vt:lpstr>
      <vt:lpstr>06 - Asset Amortisation Profile</vt:lpstr>
      <vt:lpstr>07 - Breakdown Statistics</vt:lpstr>
      <vt:lpstr>08 - Delinquent Home Loans Stat</vt:lpstr>
      <vt:lpstr>09 - Default &amp; Recovery Stat</vt:lpstr>
      <vt:lpstr>10 -Principal Deficiency Ledger</vt:lpstr>
      <vt:lpstr>11 - Notes Follow-up</vt:lpstr>
      <vt:lpstr>12 - Notes Interest</vt:lpstr>
      <vt:lpstr>13 - Issuer Account</vt:lpstr>
      <vt:lpstr>14 - Fees</vt:lpstr>
      <vt:lpstr>15 - Priority of Payments</vt:lpstr>
      <vt:lpstr>16 - Simplified Balance Sheet</vt:lpstr>
      <vt:lpstr>17 - Calendar</vt:lpstr>
      <vt:lpstr>Neolink</vt:lpstr>
      <vt:lpstr>Instructions</vt:lpstr>
      <vt:lpstr>OD Compta</vt:lpstr>
      <vt:lpstr>INPUT_DATA</vt:lpstr>
      <vt:lpstr>18 - Event</vt:lpstr>
      <vt:lpstr>IR_Annex 12</vt:lpstr>
      <vt:lpstr>IR_Annex 14</vt:lpstr>
      <vt:lpstr>'00 - Cover'!Print_Area</vt:lpstr>
      <vt:lpstr>'01 - Summary'!Print_Area</vt:lpstr>
      <vt:lpstr>'02 - Eligibility Criteria'!Print_Area</vt:lpstr>
      <vt:lpstr>'05 - Prepayment Rate'!Print_Area</vt:lpstr>
      <vt:lpstr>'06 - Asset Amortisation Profile'!Print_Area</vt:lpstr>
      <vt:lpstr>'08 - Delinquent Home Loans Stat'!Print_Area</vt:lpstr>
      <vt:lpstr>'09 - Default &amp; Recovery Stat'!Print_Area</vt:lpstr>
      <vt:lpstr>'11 - Notes Follow-up'!Print_Area</vt:lpstr>
      <vt:lpstr>'12 - Notes Interest'!Print_Area</vt:lpstr>
      <vt:lpstr>'13 - Issuer Account'!Print_Area</vt:lpstr>
      <vt:lpstr>'14 - Fees'!Print_Area</vt:lpstr>
      <vt:lpstr>'15 - OD'!Print_Area</vt:lpstr>
      <vt:lpstr>'15 - Priority of Payments'!Print_Area</vt:lpstr>
      <vt:lpstr>'16 - Simplified Balance Sheet'!Print_Area</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Fabrice Jarlot</dc:creator>
  <cp:lastModifiedBy>Majd Fredj</cp:lastModifiedBy>
  <cp:lastPrinted>2021-10-06T07:00:20Z</cp:lastPrinted>
  <dcterms:created xsi:type="dcterms:W3CDTF">2009-08-06T14:40:37Z</dcterms:created>
  <dcterms:modified xsi:type="dcterms:W3CDTF">2024-10-25T08:40:50Z</dcterms:modified>
</cp:coreProperties>
</file>